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Ự TOÁN 2025\"/>
    </mc:Choice>
  </mc:AlternateContent>
  <bookViews>
    <workbookView xWindow="0" yWindow="0" windowWidth="20490" windowHeight="8805" tabRatio="820" firstSheet="2" activeTab="16"/>
  </bookViews>
  <sheets>
    <sheet name="Lương khối QLNN" sheetId="48" r:id="rId1"/>
    <sheet name="Lương khối DP" sheetId="76" r:id="rId2"/>
    <sheet name=" Lương xã" sheetId="58" r:id="rId3"/>
    <sheet name="DS TP " sheetId="83" r:id="rId4"/>
    <sheet name="DS PX" sheetId="84" r:id="rId5"/>
    <sheet name="Biên chế còn thiếu" sheetId="66" r:id="rId6"/>
    <sheet name="NLTX" sheetId="85" r:id="rId7"/>
    <sheet name="Chi TX TYT" sheetId="28" r:id="rId8"/>
    <sheet name="truc xa" sheetId="4" r:id="rId9"/>
    <sheet name="NĐ 76 ưu đãi" sheetId="70" r:id="rId10"/>
    <sheet name="NĐ 76 thu hút" sheetId="72" r:id="rId11"/>
    <sheet name="NĐ76 lâu năm" sheetId="71" r:id="rId12"/>
    <sheet name="Chuyển vùng" sheetId="80" r:id="rId13"/>
    <sheet name="Trợ cấp lần đầu" sheetId="79" r:id="rId14"/>
    <sheet name="ND 76 di hoc" sheetId="14" r:id="rId15"/>
    <sheet name="Biểu 15,1" sheetId="81" r:id="rId16"/>
    <sheet name="Biểu 15,2" sheetId="82" r:id="rId17"/>
    <sheet name="Sheet2" sheetId="87" r:id="rId18"/>
    <sheet name="Sheet3" sheetId="88" r:id="rId19"/>
  </sheets>
  <definedNames>
    <definedName name="_xlnm.Print_Titles" localSheetId="0">'Lương khối QLNN'!$A:$B,'Lương khối QLNN'!$8:$10</definedName>
  </definedNames>
  <calcPr calcId="162913"/>
</workbook>
</file>

<file path=xl/calcChain.xml><?xml version="1.0" encoding="utf-8"?>
<calcChain xmlns="http://schemas.openxmlformats.org/spreadsheetml/2006/main">
  <c r="J38" i="82" l="1"/>
  <c r="AF37" i="82"/>
  <c r="AE37" i="82"/>
  <c r="AD37" i="82"/>
  <c r="AC38" i="82" s="1"/>
  <c r="S37" i="82"/>
  <c r="R37" i="82" s="1"/>
  <c r="V37" i="82" s="1"/>
  <c r="W37" i="82" s="1"/>
  <c r="F37" i="82"/>
  <c r="E37" i="82"/>
  <c r="D37" i="82"/>
  <c r="J37" i="82" s="1"/>
  <c r="AF36" i="82"/>
  <c r="AE36" i="82"/>
  <c r="AD36" i="82"/>
  <c r="AC36" i="82" s="1"/>
  <c r="S36" i="82"/>
  <c r="R36" i="82" s="1"/>
  <c r="V36" i="82" s="1"/>
  <c r="W36" i="82" s="1"/>
  <c r="W33" i="82" s="1"/>
  <c r="F36" i="82"/>
  <c r="E36" i="82"/>
  <c r="D36" i="82"/>
  <c r="J36" i="82" s="1"/>
  <c r="AF35" i="82"/>
  <c r="AE35" i="82"/>
  <c r="AD35" i="82"/>
  <c r="AC35" i="82" s="1"/>
  <c r="R35" i="82"/>
  <c r="V35" i="82" s="1"/>
  <c r="W35" i="82" s="1"/>
  <c r="F35" i="82"/>
  <c r="E35" i="82"/>
  <c r="D35" i="82"/>
  <c r="J35" i="82" s="1"/>
  <c r="AF34" i="82"/>
  <c r="AE34" i="82"/>
  <c r="AE33" i="82" s="1"/>
  <c r="AD34" i="82"/>
  <c r="AC34" i="82" s="1"/>
  <c r="X34" i="82"/>
  <c r="V34" i="82"/>
  <c r="S34" i="82"/>
  <c r="R34" i="82" s="1"/>
  <c r="F34" i="82"/>
  <c r="E34" i="82"/>
  <c r="E33" i="82" s="1"/>
  <c r="D34" i="82"/>
  <c r="D33" i="82" s="1"/>
  <c r="AK33" i="82"/>
  <c r="AJ33" i="82"/>
  <c r="AI33" i="82"/>
  <c r="AG33" i="82"/>
  <c r="AF33" i="82"/>
  <c r="AB33" i="82"/>
  <c r="AA33" i="82"/>
  <c r="Z33" i="82"/>
  <c r="Y33" i="82"/>
  <c r="X33" i="82"/>
  <c r="U33" i="82"/>
  <c r="T33" i="82"/>
  <c r="S33" i="82"/>
  <c r="Q33" i="82"/>
  <c r="P33" i="82"/>
  <c r="O33" i="82"/>
  <c r="N33" i="82"/>
  <c r="M33" i="82"/>
  <c r="L33" i="82"/>
  <c r="K33" i="82"/>
  <c r="H33" i="82"/>
  <c r="G33" i="82"/>
  <c r="F33" i="82"/>
  <c r="C33" i="82"/>
  <c r="P34" i="81"/>
  <c r="J34" i="81"/>
  <c r="E34" i="81"/>
  <c r="P33" i="81"/>
  <c r="J33" i="81"/>
  <c r="E33" i="81"/>
  <c r="P32" i="81"/>
  <c r="J32" i="81"/>
  <c r="E32" i="81"/>
  <c r="P31" i="81"/>
  <c r="P30" i="81" s="1"/>
  <c r="J31" i="81"/>
  <c r="F31" i="81"/>
  <c r="E31" i="81" s="1"/>
  <c r="E30" i="81" s="1"/>
  <c r="X30" i="81"/>
  <c r="W30" i="81"/>
  <c r="V30" i="81"/>
  <c r="U30" i="81"/>
  <c r="S30" i="81"/>
  <c r="R30" i="81"/>
  <c r="Q30" i="81"/>
  <c r="M30" i="81"/>
  <c r="L30" i="81"/>
  <c r="K30" i="81"/>
  <c r="J30" i="81"/>
  <c r="H30" i="81"/>
  <c r="G30" i="81"/>
  <c r="D30" i="81"/>
  <c r="AB90" i="85"/>
  <c r="AB83" i="85"/>
  <c r="AB77" i="85"/>
  <c r="W30" i="85"/>
  <c r="Y30" i="85"/>
  <c r="Z30" i="85"/>
  <c r="AA30" i="85"/>
  <c r="AB30" i="85"/>
  <c r="N30" i="85"/>
  <c r="L30" i="85"/>
  <c r="J30" i="85"/>
  <c r="H12" i="58"/>
  <c r="J12" i="58"/>
  <c r="R14" i="58"/>
  <c r="R15" i="58"/>
  <c r="R16" i="58"/>
  <c r="R17" i="58"/>
  <c r="R18" i="58"/>
  <c r="R19" i="58"/>
  <c r="R20" i="58"/>
  <c r="R21" i="58"/>
  <c r="R22" i="58"/>
  <c r="R23" i="58"/>
  <c r="R24" i="58"/>
  <c r="R25" i="58"/>
  <c r="R26" i="58"/>
  <c r="R27" i="58"/>
  <c r="R28" i="58"/>
  <c r="R29" i="58"/>
  <c r="R30" i="58"/>
  <c r="R31" i="58"/>
  <c r="R32" i="58"/>
  <c r="R33" i="58"/>
  <c r="R40" i="58"/>
  <c r="R46" i="58"/>
  <c r="R47" i="58"/>
  <c r="R48" i="58"/>
  <c r="R49" i="58"/>
  <c r="R50" i="58"/>
  <c r="R51" i="58"/>
  <c r="R52" i="58"/>
  <c r="R53" i="58"/>
  <c r="R54" i="58"/>
  <c r="R55" i="58"/>
  <c r="R56" i="58"/>
  <c r="R57" i="58"/>
  <c r="R58" i="58"/>
  <c r="R59" i="58"/>
  <c r="R60" i="58"/>
  <c r="R61" i="58"/>
  <c r="R62" i="58"/>
  <c r="R63" i="58"/>
  <c r="R64" i="58"/>
  <c r="R65" i="58"/>
  <c r="R66" i="58"/>
  <c r="R67" i="58"/>
  <c r="R68" i="58"/>
  <c r="R69" i="58"/>
  <c r="R70" i="58"/>
  <c r="R71" i="58"/>
  <c r="R72" i="58"/>
  <c r="R73" i="58"/>
  <c r="R74" i="58"/>
  <c r="R75" i="58"/>
  <c r="R76" i="58"/>
  <c r="R77" i="58"/>
  <c r="R78" i="58"/>
  <c r="R79" i="58"/>
  <c r="R80" i="58"/>
  <c r="R81" i="58"/>
  <c r="R82" i="58"/>
  <c r="R83" i="58"/>
  <c r="R84" i="58"/>
  <c r="R85" i="58"/>
  <c r="R86" i="58"/>
  <c r="R87" i="58"/>
  <c r="R88" i="58"/>
  <c r="R89" i="58"/>
  <c r="R90" i="58"/>
  <c r="R91" i="58"/>
  <c r="R92" i="58"/>
  <c r="R93" i="58"/>
  <c r="R94" i="58"/>
  <c r="R95" i="58"/>
  <c r="R13" i="58"/>
  <c r="I11" i="66"/>
  <c r="G13" i="66"/>
  <c r="I13" i="66" s="1"/>
  <c r="G12" i="66"/>
  <c r="I12" i="66" s="1"/>
  <c r="G11" i="66"/>
  <c r="H11" i="66" s="1"/>
  <c r="J18" i="88"/>
  <c r="AF17" i="88"/>
  <c r="AE17" i="88"/>
  <c r="AD17" i="88"/>
  <c r="AC17" i="88" s="1"/>
  <c r="S17" i="88"/>
  <c r="R17" i="88" s="1"/>
  <c r="V17" i="88" s="1"/>
  <c r="W17" i="88" s="1"/>
  <c r="F17" i="88"/>
  <c r="E17" i="88"/>
  <c r="D17" i="88"/>
  <c r="J17" i="88" s="1"/>
  <c r="AF16" i="88"/>
  <c r="AE16" i="88"/>
  <c r="AD16" i="88"/>
  <c r="AC16" i="88" s="1"/>
  <c r="S16" i="88"/>
  <c r="R16" i="88" s="1"/>
  <c r="V16" i="88" s="1"/>
  <c r="W16" i="88" s="1"/>
  <c r="W13" i="88" s="1"/>
  <c r="F16" i="88"/>
  <c r="E16" i="88"/>
  <c r="D16" i="88"/>
  <c r="J16" i="88" s="1"/>
  <c r="AF15" i="88"/>
  <c r="AE15" i="88"/>
  <c r="AD15" i="88"/>
  <c r="AC15" i="88" s="1"/>
  <c r="V15" i="88"/>
  <c r="W15" i="88" s="1"/>
  <c r="R15" i="88"/>
  <c r="F15" i="88"/>
  <c r="E15" i="88"/>
  <c r="D15" i="88"/>
  <c r="J15" i="88" s="1"/>
  <c r="AF14" i="88"/>
  <c r="AF13" i="88" s="1"/>
  <c r="AE14" i="88"/>
  <c r="AE13" i="88" s="1"/>
  <c r="AD14" i="88"/>
  <c r="AC14" i="88" s="1"/>
  <c r="X14" i="88"/>
  <c r="V14" i="88"/>
  <c r="V13" i="88" s="1"/>
  <c r="S14" i="88"/>
  <c r="R14" i="88" s="1"/>
  <c r="F14" i="88"/>
  <c r="F13" i="88" s="1"/>
  <c r="E14" i="88"/>
  <c r="J14" i="88" s="1"/>
  <c r="D14" i="88"/>
  <c r="D13" i="88" s="1"/>
  <c r="AK13" i="88"/>
  <c r="AJ13" i="88"/>
  <c r="AI13" i="88"/>
  <c r="AG13" i="88"/>
  <c r="AB13" i="88"/>
  <c r="AA13" i="88"/>
  <c r="Z13" i="88"/>
  <c r="Y13" i="88"/>
  <c r="X13" i="88"/>
  <c r="U13" i="88"/>
  <c r="T13" i="88"/>
  <c r="S13" i="88"/>
  <c r="Q13" i="88"/>
  <c r="P13" i="88"/>
  <c r="O13" i="88"/>
  <c r="N13" i="88"/>
  <c r="M13" i="88"/>
  <c r="L13" i="88"/>
  <c r="K13" i="88"/>
  <c r="H13" i="88"/>
  <c r="G13" i="88"/>
  <c r="C13" i="88"/>
  <c r="P15" i="87"/>
  <c r="J15" i="87"/>
  <c r="E15" i="87"/>
  <c r="P14" i="87"/>
  <c r="J14" i="87"/>
  <c r="E14" i="87"/>
  <c r="P13" i="87"/>
  <c r="J13" i="87"/>
  <c r="J11" i="87" s="1"/>
  <c r="E13" i="87"/>
  <c r="E11" i="87" s="1"/>
  <c r="P12" i="87"/>
  <c r="P11" i="87" s="1"/>
  <c r="J12" i="87"/>
  <c r="F12" i="87"/>
  <c r="E12" i="87"/>
  <c r="X11" i="87"/>
  <c r="W11" i="87"/>
  <c r="V11" i="87"/>
  <c r="U11" i="87"/>
  <c r="S11" i="87"/>
  <c r="R11" i="87"/>
  <c r="Q11" i="87"/>
  <c r="M11" i="87"/>
  <c r="L11" i="87"/>
  <c r="K11" i="87"/>
  <c r="H11" i="87"/>
  <c r="G11" i="87"/>
  <c r="F11" i="87"/>
  <c r="D11" i="87"/>
  <c r="R33" i="82" l="1"/>
  <c r="AH34" i="82"/>
  <c r="AH33" i="82" s="1"/>
  <c r="AC33" i="82"/>
  <c r="V33" i="82"/>
  <c r="J34" i="82"/>
  <c r="J33" i="82" s="1"/>
  <c r="AD33" i="82"/>
  <c r="AC37" i="82"/>
  <c r="F30" i="81"/>
  <c r="J11" i="66"/>
  <c r="F11" i="66" s="1"/>
  <c r="K11" i="66" s="1"/>
  <c r="L11" i="66" s="1"/>
  <c r="H13" i="66"/>
  <c r="J13" i="66" s="1"/>
  <c r="F13" i="66" s="1"/>
  <c r="K13" i="66" s="1"/>
  <c r="L13" i="66" s="1"/>
  <c r="H12" i="66"/>
  <c r="J12" i="66" s="1"/>
  <c r="F12" i="66" s="1"/>
  <c r="K12" i="66" s="1"/>
  <c r="L12" i="66" s="1"/>
  <c r="J13" i="88"/>
  <c r="AC13" i="88"/>
  <c r="AH14" i="88"/>
  <c r="AH13" i="88" s="1"/>
  <c r="R13" i="88"/>
  <c r="AC18" i="88"/>
  <c r="E13" i="88"/>
  <c r="AD13" i="88"/>
  <c r="T13" i="84" l="1"/>
  <c r="T14" i="84"/>
  <c r="T15" i="84"/>
  <c r="T16" i="84"/>
  <c r="T17" i="84"/>
  <c r="T18" i="84"/>
  <c r="T19" i="84"/>
  <c r="T20" i="84"/>
  <c r="T21" i="84"/>
  <c r="T22" i="84"/>
  <c r="T23" i="84"/>
  <c r="T24" i="84"/>
  <c r="T25" i="84"/>
  <c r="T26" i="84"/>
  <c r="T12" i="84"/>
  <c r="Q13" i="84"/>
  <c r="Q25" i="84"/>
  <c r="P13" i="84"/>
  <c r="P14" i="84"/>
  <c r="P15" i="84"/>
  <c r="P16" i="84"/>
  <c r="P17" i="84"/>
  <c r="P18" i="84"/>
  <c r="P19" i="84"/>
  <c r="P20" i="84"/>
  <c r="P21" i="84"/>
  <c r="P22" i="84"/>
  <c r="Q22" i="84" s="1"/>
  <c r="P23" i="84"/>
  <c r="Q23" i="84" s="1"/>
  <c r="P24" i="84"/>
  <c r="Q24" i="84" s="1"/>
  <c r="P25" i="84"/>
  <c r="P26" i="84"/>
  <c r="P12" i="84"/>
  <c r="O13" i="84"/>
  <c r="O14" i="84"/>
  <c r="Q14" i="84" s="1"/>
  <c r="O15" i="84"/>
  <c r="Q15" i="84" s="1"/>
  <c r="O16" i="84"/>
  <c r="Q16" i="84" s="1"/>
  <c r="O17" i="84"/>
  <c r="Q17" i="84" s="1"/>
  <c r="O18" i="84"/>
  <c r="Q18" i="84" s="1"/>
  <c r="O19" i="84"/>
  <c r="Q19" i="84" s="1"/>
  <c r="O20" i="84"/>
  <c r="Q20" i="84" s="1"/>
  <c r="O21" i="84"/>
  <c r="O22" i="84"/>
  <c r="O23" i="84"/>
  <c r="O24" i="84"/>
  <c r="O25" i="84"/>
  <c r="O26" i="84"/>
  <c r="Q26" i="84" s="1"/>
  <c r="O12" i="84"/>
  <c r="Q12" i="84" s="1"/>
  <c r="K13" i="84"/>
  <c r="G13" i="84" s="1"/>
  <c r="E13" i="84" s="1"/>
  <c r="R13" i="84" s="1"/>
  <c r="S13" i="84" s="1"/>
  <c r="U13" i="84" s="1"/>
  <c r="K14" i="84"/>
  <c r="G14" i="84" s="1"/>
  <c r="E14" i="84" s="1"/>
  <c r="R14" i="84" s="1"/>
  <c r="S14" i="84" s="1"/>
  <c r="U14" i="84" s="1"/>
  <c r="K15" i="84"/>
  <c r="G15" i="84" s="1"/>
  <c r="E15" i="84" s="1"/>
  <c r="R15" i="84" s="1"/>
  <c r="S15" i="84" s="1"/>
  <c r="U15" i="84" s="1"/>
  <c r="K16" i="84"/>
  <c r="G16" i="84" s="1"/>
  <c r="K17" i="84"/>
  <c r="G17" i="84" s="1"/>
  <c r="K18" i="84"/>
  <c r="G18" i="84" s="1"/>
  <c r="E18" i="84" s="1"/>
  <c r="R18" i="84" s="1"/>
  <c r="S18" i="84" s="1"/>
  <c r="U18" i="84" s="1"/>
  <c r="K19" i="84"/>
  <c r="G19" i="84" s="1"/>
  <c r="K20" i="84"/>
  <c r="G20" i="84" s="1"/>
  <c r="K21" i="84"/>
  <c r="G21" i="84" s="1"/>
  <c r="K22" i="84"/>
  <c r="G22" i="84" s="1"/>
  <c r="K23" i="84"/>
  <c r="G23" i="84" s="1"/>
  <c r="K24" i="84"/>
  <c r="G24" i="84" s="1"/>
  <c r="K25" i="84"/>
  <c r="G25" i="84" s="1"/>
  <c r="K26" i="84"/>
  <c r="G26" i="84" s="1"/>
  <c r="E26" i="84" s="1"/>
  <c r="R26" i="84" s="1"/>
  <c r="S26" i="84" s="1"/>
  <c r="U26" i="84" s="1"/>
  <c r="K12" i="84"/>
  <c r="G12" i="84" s="1"/>
  <c r="T13" i="83"/>
  <c r="T14" i="83"/>
  <c r="T15" i="83"/>
  <c r="T16" i="83"/>
  <c r="T17" i="83"/>
  <c r="T18" i="83"/>
  <c r="T12" i="83"/>
  <c r="O13" i="83"/>
  <c r="Q13" i="83" s="1"/>
  <c r="O14" i="83"/>
  <c r="Q14" i="83" s="1"/>
  <c r="O15" i="83"/>
  <c r="O16" i="83"/>
  <c r="O17" i="83"/>
  <c r="O18" i="83"/>
  <c r="P13" i="83"/>
  <c r="P14" i="83"/>
  <c r="P15" i="83"/>
  <c r="P16" i="83"/>
  <c r="P17" i="83"/>
  <c r="P18" i="83"/>
  <c r="Q18" i="83" s="1"/>
  <c r="P12" i="83"/>
  <c r="O12" i="83"/>
  <c r="Q12" i="83" s="1"/>
  <c r="M19" i="83"/>
  <c r="L19" i="83"/>
  <c r="K14" i="83"/>
  <c r="K15" i="83"/>
  <c r="K16" i="83"/>
  <c r="K17" i="83"/>
  <c r="K18" i="83"/>
  <c r="K13" i="83"/>
  <c r="G13" i="83"/>
  <c r="E13" i="83" s="1"/>
  <c r="R13" i="83" s="1"/>
  <c r="S13" i="83" s="1"/>
  <c r="U13" i="83" s="1"/>
  <c r="G14" i="83"/>
  <c r="E14" i="83" s="1"/>
  <c r="R14" i="83" s="1"/>
  <c r="S14" i="83" s="1"/>
  <c r="U14" i="83" s="1"/>
  <c r="G15" i="83"/>
  <c r="G16" i="83"/>
  <c r="G17" i="83"/>
  <c r="G18" i="83"/>
  <c r="E18" i="83" s="1"/>
  <c r="R18" i="83" s="1"/>
  <c r="S18" i="83" s="1"/>
  <c r="U18" i="83" s="1"/>
  <c r="H12" i="83"/>
  <c r="G12" i="83" s="1"/>
  <c r="E12" i="83" s="1"/>
  <c r="R12" i="83" s="1"/>
  <c r="S12" i="83" s="1"/>
  <c r="U12" i="83" s="1"/>
  <c r="E16" i="84" l="1"/>
  <c r="R16" i="84" s="1"/>
  <c r="S16" i="84" s="1"/>
  <c r="U16" i="84" s="1"/>
  <c r="E23" i="84"/>
  <c r="R23" i="84" s="1"/>
  <c r="S23" i="84" s="1"/>
  <c r="U23" i="84" s="1"/>
  <c r="E17" i="84"/>
  <c r="R17" i="84" s="1"/>
  <c r="S17" i="84" s="1"/>
  <c r="U17" i="84" s="1"/>
  <c r="E22" i="84"/>
  <c r="R22" i="84" s="1"/>
  <c r="S22" i="84" s="1"/>
  <c r="U22" i="84" s="1"/>
  <c r="Q21" i="84"/>
  <c r="E24" i="84"/>
  <c r="R24" i="84" s="1"/>
  <c r="S24" i="84" s="1"/>
  <c r="U24" i="84" s="1"/>
  <c r="E12" i="84"/>
  <c r="R12" i="84" s="1"/>
  <c r="S12" i="84" s="1"/>
  <c r="U12" i="84" s="1"/>
  <c r="E25" i="84"/>
  <c r="R25" i="84" s="1"/>
  <c r="S25" i="84" s="1"/>
  <c r="U25" i="84" s="1"/>
  <c r="E19" i="84"/>
  <c r="R19" i="84" s="1"/>
  <c r="S19" i="84" s="1"/>
  <c r="U19" i="84" s="1"/>
  <c r="E21" i="84"/>
  <c r="R21" i="84" s="1"/>
  <c r="S21" i="84" s="1"/>
  <c r="U21" i="84" s="1"/>
  <c r="E20" i="84"/>
  <c r="R20" i="84" s="1"/>
  <c r="S20" i="84" s="1"/>
  <c r="U20" i="84" s="1"/>
  <c r="K12" i="83"/>
  <c r="K19" i="83" s="1"/>
  <c r="Q17" i="83"/>
  <c r="E17" i="83" s="1"/>
  <c r="R17" i="83" s="1"/>
  <c r="S17" i="83" s="1"/>
  <c r="U17" i="83" s="1"/>
  <c r="Q16" i="83"/>
  <c r="E16" i="83" s="1"/>
  <c r="R16" i="83" s="1"/>
  <c r="S16" i="83" s="1"/>
  <c r="U16" i="83" s="1"/>
  <c r="Q15" i="83"/>
  <c r="E15" i="83" s="1"/>
  <c r="R15" i="83" s="1"/>
  <c r="S15" i="83" s="1"/>
  <c r="U15" i="83" s="1"/>
  <c r="G19" i="83"/>
  <c r="F19" i="83"/>
  <c r="F27" i="84"/>
  <c r="U14" i="58"/>
  <c r="U15" i="58"/>
  <c r="U16" i="58"/>
  <c r="U17" i="58"/>
  <c r="U18" i="58"/>
  <c r="U19" i="58"/>
  <c r="U20" i="58"/>
  <c r="U21" i="58"/>
  <c r="U22" i="58"/>
  <c r="U23" i="58"/>
  <c r="U24" i="58"/>
  <c r="U25" i="58"/>
  <c r="U26" i="58"/>
  <c r="U27" i="58"/>
  <c r="U28" i="58"/>
  <c r="U29" i="58"/>
  <c r="U30" i="58"/>
  <c r="U31" i="58"/>
  <c r="U32" i="58"/>
  <c r="U33" i="58"/>
  <c r="U34" i="58"/>
  <c r="U35" i="58"/>
  <c r="U36" i="58"/>
  <c r="U37" i="58"/>
  <c r="U38" i="58"/>
  <c r="U39" i="58"/>
  <c r="U40" i="58"/>
  <c r="U41" i="58"/>
  <c r="U42" i="58"/>
  <c r="U43" i="58"/>
  <c r="U44" i="58"/>
  <c r="U45" i="58"/>
  <c r="U46" i="58"/>
  <c r="U47" i="58"/>
  <c r="U48" i="58"/>
  <c r="U49" i="58"/>
  <c r="U50" i="58"/>
  <c r="U51" i="58"/>
  <c r="U52" i="58"/>
  <c r="U53" i="58"/>
  <c r="U54" i="58"/>
  <c r="U55" i="58"/>
  <c r="U56" i="58"/>
  <c r="U57" i="58"/>
  <c r="U58" i="58"/>
  <c r="U59" i="58"/>
  <c r="U60" i="58"/>
  <c r="U61" i="58"/>
  <c r="U62" i="58"/>
  <c r="U63" i="58"/>
  <c r="U64" i="58"/>
  <c r="U65" i="58"/>
  <c r="U66" i="58"/>
  <c r="U67" i="58"/>
  <c r="U68" i="58"/>
  <c r="U69" i="58"/>
  <c r="U70" i="58"/>
  <c r="U71" i="58"/>
  <c r="U72" i="58"/>
  <c r="U73" i="58"/>
  <c r="U74" i="58"/>
  <c r="U75" i="58"/>
  <c r="U76" i="58"/>
  <c r="U77" i="58"/>
  <c r="U78" i="58"/>
  <c r="U79" i="58"/>
  <c r="U80" i="58"/>
  <c r="U81" i="58"/>
  <c r="U82" i="58"/>
  <c r="U83" i="58"/>
  <c r="U84" i="58"/>
  <c r="U85" i="58"/>
  <c r="U86" i="58"/>
  <c r="U87" i="58"/>
  <c r="U88" i="58"/>
  <c r="U89" i="58"/>
  <c r="U90" i="58"/>
  <c r="U91" i="58"/>
  <c r="U92" i="58"/>
  <c r="U93" i="58"/>
  <c r="U94" i="58"/>
  <c r="U95" i="58"/>
  <c r="U13" i="58"/>
  <c r="M14" i="58"/>
  <c r="I14" i="58" s="1"/>
  <c r="M15" i="58"/>
  <c r="I15" i="58" s="1"/>
  <c r="M16" i="58"/>
  <c r="I16" i="58" s="1"/>
  <c r="M17" i="58"/>
  <c r="I17" i="58" s="1"/>
  <c r="M18" i="58"/>
  <c r="I18" i="58" s="1"/>
  <c r="M19" i="58"/>
  <c r="I19" i="58" s="1"/>
  <c r="M20" i="58"/>
  <c r="I20" i="58" s="1"/>
  <c r="M21" i="58"/>
  <c r="I21" i="58" s="1"/>
  <c r="M22" i="58"/>
  <c r="I22" i="58" s="1"/>
  <c r="M23" i="58"/>
  <c r="I23" i="58" s="1"/>
  <c r="M24" i="58"/>
  <c r="I24" i="58" s="1"/>
  <c r="M25" i="58"/>
  <c r="I25" i="58" s="1"/>
  <c r="M26" i="58"/>
  <c r="I26" i="58" s="1"/>
  <c r="M27" i="58"/>
  <c r="I27" i="58" s="1"/>
  <c r="M28" i="58"/>
  <c r="I28" i="58" s="1"/>
  <c r="M29" i="58"/>
  <c r="I29" i="58" s="1"/>
  <c r="M30" i="58"/>
  <c r="I30" i="58" s="1"/>
  <c r="M31" i="58"/>
  <c r="I31" i="58" s="1"/>
  <c r="M32" i="58"/>
  <c r="I32" i="58" s="1"/>
  <c r="M33" i="58"/>
  <c r="I33" i="58" s="1"/>
  <c r="M40" i="58"/>
  <c r="I40" i="58" s="1"/>
  <c r="M46" i="58"/>
  <c r="I46" i="58" s="1"/>
  <c r="M47" i="58"/>
  <c r="I47" i="58" s="1"/>
  <c r="M48" i="58"/>
  <c r="I48" i="58" s="1"/>
  <c r="M49" i="58"/>
  <c r="I49" i="58" s="1"/>
  <c r="M50" i="58"/>
  <c r="I50" i="58" s="1"/>
  <c r="M51" i="58"/>
  <c r="I51" i="58" s="1"/>
  <c r="M52" i="58"/>
  <c r="I52" i="58" s="1"/>
  <c r="M53" i="58"/>
  <c r="I53" i="58" s="1"/>
  <c r="M54" i="58"/>
  <c r="I54" i="58" s="1"/>
  <c r="M55" i="58"/>
  <c r="I55" i="58" s="1"/>
  <c r="M56" i="58"/>
  <c r="I56" i="58" s="1"/>
  <c r="M57" i="58"/>
  <c r="I57" i="58" s="1"/>
  <c r="M58" i="58"/>
  <c r="I58" i="58" s="1"/>
  <c r="M59" i="58"/>
  <c r="I59" i="58" s="1"/>
  <c r="M60" i="58"/>
  <c r="I60" i="58" s="1"/>
  <c r="M61" i="58"/>
  <c r="I61" i="58" s="1"/>
  <c r="M62" i="58"/>
  <c r="I62" i="58" s="1"/>
  <c r="M63" i="58"/>
  <c r="I63" i="58" s="1"/>
  <c r="M64" i="58"/>
  <c r="I64" i="58" s="1"/>
  <c r="M65" i="58"/>
  <c r="I65" i="58" s="1"/>
  <c r="M66" i="58"/>
  <c r="I66" i="58" s="1"/>
  <c r="M67" i="58"/>
  <c r="I67" i="58" s="1"/>
  <c r="M68" i="58"/>
  <c r="I68" i="58" s="1"/>
  <c r="M69" i="58"/>
  <c r="I69" i="58" s="1"/>
  <c r="M70" i="58"/>
  <c r="I70" i="58" s="1"/>
  <c r="M71" i="58"/>
  <c r="I71" i="58" s="1"/>
  <c r="M72" i="58"/>
  <c r="I72" i="58" s="1"/>
  <c r="M73" i="58"/>
  <c r="I73" i="58" s="1"/>
  <c r="M74" i="58"/>
  <c r="I74" i="58" s="1"/>
  <c r="M75" i="58"/>
  <c r="I75" i="58" s="1"/>
  <c r="M76" i="58"/>
  <c r="I76" i="58" s="1"/>
  <c r="M77" i="58"/>
  <c r="I77" i="58" s="1"/>
  <c r="M78" i="58"/>
  <c r="I78" i="58" s="1"/>
  <c r="M79" i="58"/>
  <c r="I79" i="58" s="1"/>
  <c r="M80" i="58"/>
  <c r="I80" i="58" s="1"/>
  <c r="M81" i="58"/>
  <c r="I81" i="58" s="1"/>
  <c r="M82" i="58"/>
  <c r="I82" i="58" s="1"/>
  <c r="M83" i="58"/>
  <c r="I83" i="58" s="1"/>
  <c r="M84" i="58"/>
  <c r="I84" i="58" s="1"/>
  <c r="M85" i="58"/>
  <c r="I85" i="58" s="1"/>
  <c r="M86" i="58"/>
  <c r="I86" i="58" s="1"/>
  <c r="M87" i="58"/>
  <c r="I87" i="58" s="1"/>
  <c r="M88" i="58"/>
  <c r="I88" i="58" s="1"/>
  <c r="M89" i="58"/>
  <c r="I89" i="58" s="1"/>
  <c r="M90" i="58"/>
  <c r="I90" i="58" s="1"/>
  <c r="M91" i="58"/>
  <c r="I91" i="58" s="1"/>
  <c r="M92" i="58"/>
  <c r="I92" i="58" s="1"/>
  <c r="M93" i="58"/>
  <c r="I93" i="58" s="1"/>
  <c r="M94" i="58"/>
  <c r="I94" i="58" s="1"/>
  <c r="M95" i="58"/>
  <c r="I95" i="58" s="1"/>
  <c r="M13" i="58"/>
  <c r="K39" i="58"/>
  <c r="R39" i="58" s="1"/>
  <c r="J96" i="58"/>
  <c r="K45" i="58"/>
  <c r="R45" i="58" s="1"/>
  <c r="K44" i="58"/>
  <c r="R44" i="58" s="1"/>
  <c r="K43" i="58"/>
  <c r="R43" i="58" s="1"/>
  <c r="K42" i="58"/>
  <c r="R42" i="58" s="1"/>
  <c r="K41" i="58"/>
  <c r="K38" i="58"/>
  <c r="R38" i="58" s="1"/>
  <c r="K37" i="58"/>
  <c r="R37" i="58" s="1"/>
  <c r="K36" i="58"/>
  <c r="R36" i="58" s="1"/>
  <c r="K35" i="58"/>
  <c r="R35" i="58" s="1"/>
  <c r="K34" i="58"/>
  <c r="H96" i="58"/>
  <c r="U13" i="76"/>
  <c r="U14" i="76"/>
  <c r="U15" i="76"/>
  <c r="U16" i="76"/>
  <c r="U17" i="76"/>
  <c r="U18" i="76"/>
  <c r="U19" i="76"/>
  <c r="U20" i="76"/>
  <c r="U21" i="76"/>
  <c r="U22" i="76"/>
  <c r="U23" i="76"/>
  <c r="U24" i="76"/>
  <c r="U25" i="76"/>
  <c r="U26" i="76"/>
  <c r="U27" i="76"/>
  <c r="U28" i="76"/>
  <c r="U29" i="76"/>
  <c r="U30" i="76"/>
  <c r="U31" i="76"/>
  <c r="U32" i="76"/>
  <c r="U33" i="76"/>
  <c r="U34" i="76"/>
  <c r="U35" i="76"/>
  <c r="U36" i="76"/>
  <c r="U37" i="76"/>
  <c r="U38" i="76"/>
  <c r="U39" i="76"/>
  <c r="U40" i="76"/>
  <c r="U41" i="76"/>
  <c r="U42" i="76"/>
  <c r="U43" i="76"/>
  <c r="U44" i="76"/>
  <c r="U45" i="76"/>
  <c r="U46" i="76"/>
  <c r="U12" i="76"/>
  <c r="N47" i="76"/>
  <c r="M47" i="76"/>
  <c r="Q14" i="76"/>
  <c r="Q15" i="76"/>
  <c r="Q16" i="76"/>
  <c r="Q17" i="76"/>
  <c r="Q20" i="76"/>
  <c r="Q21" i="76"/>
  <c r="Q22" i="76"/>
  <c r="Q23" i="76"/>
  <c r="Q24" i="76"/>
  <c r="Q25" i="76"/>
  <c r="Q26" i="76"/>
  <c r="Q27" i="76"/>
  <c r="Q28" i="76"/>
  <c r="Q29" i="76"/>
  <c r="Q30" i="76"/>
  <c r="Q31" i="76"/>
  <c r="Q32" i="76"/>
  <c r="Q33" i="76"/>
  <c r="Q34" i="76"/>
  <c r="Q35" i="76"/>
  <c r="Q36" i="76"/>
  <c r="Q37" i="76"/>
  <c r="Q38" i="76"/>
  <c r="Q39" i="76"/>
  <c r="Q40" i="76"/>
  <c r="Q41" i="76"/>
  <c r="Q42" i="76"/>
  <c r="Q43" i="76"/>
  <c r="Q44" i="76"/>
  <c r="Q45" i="76"/>
  <c r="Q46" i="76"/>
  <c r="P14" i="76"/>
  <c r="R14" i="76" s="1"/>
  <c r="P15" i="76"/>
  <c r="R15" i="76" s="1"/>
  <c r="P16" i="76"/>
  <c r="R16" i="76" s="1"/>
  <c r="P17" i="76"/>
  <c r="R17" i="76" s="1"/>
  <c r="P20" i="76"/>
  <c r="R20" i="76" s="1"/>
  <c r="P21" i="76"/>
  <c r="R21" i="76" s="1"/>
  <c r="P22" i="76"/>
  <c r="R22" i="76" s="1"/>
  <c r="P23" i="76"/>
  <c r="R23" i="76" s="1"/>
  <c r="P24" i="76"/>
  <c r="R24" i="76" s="1"/>
  <c r="P25" i="76"/>
  <c r="R25" i="76" s="1"/>
  <c r="P26" i="76"/>
  <c r="R26" i="76" s="1"/>
  <c r="P27" i="76"/>
  <c r="R27" i="76" s="1"/>
  <c r="P28" i="76"/>
  <c r="R28" i="76" s="1"/>
  <c r="P29" i="76"/>
  <c r="R29" i="76" s="1"/>
  <c r="P30" i="76"/>
  <c r="R30" i="76" s="1"/>
  <c r="P31" i="76"/>
  <c r="R31" i="76" s="1"/>
  <c r="P32" i="76"/>
  <c r="R32" i="76" s="1"/>
  <c r="P33" i="76"/>
  <c r="R33" i="76" s="1"/>
  <c r="P34" i="76"/>
  <c r="R34" i="76" s="1"/>
  <c r="P35" i="76"/>
  <c r="R35" i="76" s="1"/>
  <c r="P36" i="76"/>
  <c r="R36" i="76" s="1"/>
  <c r="P37" i="76"/>
  <c r="R37" i="76" s="1"/>
  <c r="P38" i="76"/>
  <c r="R38" i="76" s="1"/>
  <c r="P39" i="76"/>
  <c r="R39" i="76" s="1"/>
  <c r="P40" i="76"/>
  <c r="R40" i="76" s="1"/>
  <c r="P41" i="76"/>
  <c r="R41" i="76" s="1"/>
  <c r="P42" i="76"/>
  <c r="R42" i="76" s="1"/>
  <c r="P43" i="76"/>
  <c r="R43" i="76" s="1"/>
  <c r="P44" i="76"/>
  <c r="R44" i="76" s="1"/>
  <c r="P45" i="76"/>
  <c r="R45" i="76" s="1"/>
  <c r="P46" i="76"/>
  <c r="R46" i="76" s="1"/>
  <c r="Q12" i="76"/>
  <c r="P12" i="76"/>
  <c r="R12" i="76" s="1"/>
  <c r="G32" i="76"/>
  <c r="E32" i="76" s="1"/>
  <c r="S32" i="76" s="1"/>
  <c r="T32" i="76" s="1"/>
  <c r="V32" i="76" s="1"/>
  <c r="G33" i="76"/>
  <c r="E33" i="76" s="1"/>
  <c r="S33" i="76" s="1"/>
  <c r="T33" i="76" s="1"/>
  <c r="V33" i="76" s="1"/>
  <c r="G34" i="76"/>
  <c r="E34" i="76" s="1"/>
  <c r="S34" i="76" s="1"/>
  <c r="T34" i="76" s="1"/>
  <c r="V34" i="76" s="1"/>
  <c r="G35" i="76"/>
  <c r="G36" i="76"/>
  <c r="G44" i="76"/>
  <c r="G45" i="76"/>
  <c r="K31" i="76"/>
  <c r="G31" i="76" s="1"/>
  <c r="E31" i="76" s="1"/>
  <c r="S31" i="76" s="1"/>
  <c r="T31" i="76" s="1"/>
  <c r="V31" i="76" s="1"/>
  <c r="K30" i="76"/>
  <c r="G30" i="76" s="1"/>
  <c r="E30" i="76" s="1"/>
  <c r="S30" i="76" s="1"/>
  <c r="T30" i="76" s="1"/>
  <c r="V30" i="76" s="1"/>
  <c r="K22" i="76"/>
  <c r="G22" i="76" s="1"/>
  <c r="E22" i="76" s="1"/>
  <c r="S22" i="76" s="1"/>
  <c r="T22" i="76" s="1"/>
  <c r="V22" i="76" s="1"/>
  <c r="K16" i="76"/>
  <c r="G16" i="76" s="1"/>
  <c r="E16" i="76" s="1"/>
  <c r="S16" i="76" s="1"/>
  <c r="T16" i="76" s="1"/>
  <c r="V16" i="76" s="1"/>
  <c r="K14" i="76"/>
  <c r="G14" i="76" s="1"/>
  <c r="E14" i="76" s="1"/>
  <c r="S14" i="76" s="1"/>
  <c r="T14" i="76" s="1"/>
  <c r="V14" i="76" s="1"/>
  <c r="K15" i="76"/>
  <c r="G15" i="76" s="1"/>
  <c r="E15" i="76" s="1"/>
  <c r="S15" i="76" s="1"/>
  <c r="T15" i="76" s="1"/>
  <c r="V15" i="76" s="1"/>
  <c r="K17" i="76"/>
  <c r="G17" i="76" s="1"/>
  <c r="E17" i="76" s="1"/>
  <c r="S17" i="76" s="1"/>
  <c r="T17" i="76" s="1"/>
  <c r="V17" i="76" s="1"/>
  <c r="K19" i="76"/>
  <c r="K20" i="76"/>
  <c r="G20" i="76" s="1"/>
  <c r="K21" i="76"/>
  <c r="G21" i="76" s="1"/>
  <c r="K23" i="76"/>
  <c r="G23" i="76" s="1"/>
  <c r="K24" i="76"/>
  <c r="G24" i="76" s="1"/>
  <c r="K25" i="76"/>
  <c r="G25" i="76" s="1"/>
  <c r="K26" i="76"/>
  <c r="G26" i="76" s="1"/>
  <c r="K27" i="76"/>
  <c r="G27" i="76" s="1"/>
  <c r="K28" i="76"/>
  <c r="G28" i="76" s="1"/>
  <c r="E28" i="76" s="1"/>
  <c r="S28" i="76" s="1"/>
  <c r="T28" i="76" s="1"/>
  <c r="V28" i="76" s="1"/>
  <c r="K29" i="76"/>
  <c r="G29" i="76" s="1"/>
  <c r="E29" i="76" s="1"/>
  <c r="S29" i="76" s="1"/>
  <c r="T29" i="76" s="1"/>
  <c r="V29" i="76" s="1"/>
  <c r="K35" i="76"/>
  <c r="K36" i="76"/>
  <c r="K37" i="76"/>
  <c r="G37" i="76" s="1"/>
  <c r="E37" i="76" s="1"/>
  <c r="S37" i="76" s="1"/>
  <c r="T37" i="76" s="1"/>
  <c r="V37" i="76" s="1"/>
  <c r="K38" i="76"/>
  <c r="G38" i="76" s="1"/>
  <c r="K39" i="76"/>
  <c r="G39" i="76" s="1"/>
  <c r="K40" i="76"/>
  <c r="G40" i="76" s="1"/>
  <c r="E40" i="76" s="1"/>
  <c r="S40" i="76" s="1"/>
  <c r="T40" i="76" s="1"/>
  <c r="V40" i="76" s="1"/>
  <c r="K41" i="76"/>
  <c r="G41" i="76" s="1"/>
  <c r="E41" i="76" s="1"/>
  <c r="S41" i="76" s="1"/>
  <c r="T41" i="76" s="1"/>
  <c r="V41" i="76" s="1"/>
  <c r="K42" i="76"/>
  <c r="G42" i="76" s="1"/>
  <c r="E42" i="76" s="1"/>
  <c r="S42" i="76" s="1"/>
  <c r="T42" i="76" s="1"/>
  <c r="V42" i="76" s="1"/>
  <c r="K43" i="76"/>
  <c r="G43" i="76" s="1"/>
  <c r="E43" i="76" s="1"/>
  <c r="S43" i="76" s="1"/>
  <c r="T43" i="76" s="1"/>
  <c r="V43" i="76" s="1"/>
  <c r="K46" i="76"/>
  <c r="G46" i="76" s="1"/>
  <c r="E46" i="76" s="1"/>
  <c r="S46" i="76" s="1"/>
  <c r="T46" i="76" s="1"/>
  <c r="V46" i="76" s="1"/>
  <c r="K12" i="76"/>
  <c r="G12" i="76" s="1"/>
  <c r="E12" i="76" s="1"/>
  <c r="S12" i="76" s="1"/>
  <c r="T12" i="76" s="1"/>
  <c r="V12" i="76" s="1"/>
  <c r="L47" i="76"/>
  <c r="I19" i="76"/>
  <c r="Q19" i="76" s="1"/>
  <c r="I18" i="76"/>
  <c r="P18" i="76" s="1"/>
  <c r="I13" i="76"/>
  <c r="P13" i="76" s="1"/>
  <c r="H47" i="76"/>
  <c r="K27" i="84" l="1"/>
  <c r="G27" i="84" s="1"/>
  <c r="P27" i="84"/>
  <c r="O27" i="84"/>
  <c r="Q27" i="84" s="1"/>
  <c r="T27" i="84"/>
  <c r="E27" i="84"/>
  <c r="R27" i="84" s="1"/>
  <c r="S27" i="84" s="1"/>
  <c r="U27" i="84" s="1"/>
  <c r="T19" i="83"/>
  <c r="M45" i="58"/>
  <c r="G93" i="58"/>
  <c r="S93" i="58" s="1"/>
  <c r="T93" i="58" s="1"/>
  <c r="V93" i="58" s="1"/>
  <c r="G81" i="58"/>
  <c r="S81" i="58" s="1"/>
  <c r="T81" i="58" s="1"/>
  <c r="V81" i="58" s="1"/>
  <c r="G69" i="58"/>
  <c r="S69" i="58" s="1"/>
  <c r="T69" i="58" s="1"/>
  <c r="V69" i="58" s="1"/>
  <c r="G57" i="58"/>
  <c r="S57" i="58" s="1"/>
  <c r="T57" i="58" s="1"/>
  <c r="V57" i="58" s="1"/>
  <c r="G23" i="58"/>
  <c r="S23" i="58" s="1"/>
  <c r="T23" i="58" s="1"/>
  <c r="V23" i="58" s="1"/>
  <c r="G92" i="58"/>
  <c r="S92" i="58" s="1"/>
  <c r="T92" i="58" s="1"/>
  <c r="V92" i="58" s="1"/>
  <c r="G80" i="58"/>
  <c r="S80" i="58" s="1"/>
  <c r="T80" i="58" s="1"/>
  <c r="V80" i="58" s="1"/>
  <c r="G68" i="58"/>
  <c r="S68" i="58" s="1"/>
  <c r="T68" i="58" s="1"/>
  <c r="V68" i="58" s="1"/>
  <c r="G56" i="58"/>
  <c r="S56" i="58" s="1"/>
  <c r="T56" i="58" s="1"/>
  <c r="V56" i="58" s="1"/>
  <c r="G40" i="58"/>
  <c r="S40" i="58" s="1"/>
  <c r="T40" i="58" s="1"/>
  <c r="V40" i="58" s="1"/>
  <c r="G22" i="58"/>
  <c r="S22" i="58" s="1"/>
  <c r="T22" i="58" s="1"/>
  <c r="V22" i="58" s="1"/>
  <c r="K96" i="58"/>
  <c r="R41" i="58"/>
  <c r="G91" i="58"/>
  <c r="S91" i="58" s="1"/>
  <c r="T91" i="58" s="1"/>
  <c r="V91" i="58" s="1"/>
  <c r="G79" i="58"/>
  <c r="S79" i="58" s="1"/>
  <c r="T79" i="58" s="1"/>
  <c r="V79" i="58" s="1"/>
  <c r="G67" i="58"/>
  <c r="S67" i="58" s="1"/>
  <c r="T67" i="58" s="1"/>
  <c r="V67" i="58" s="1"/>
  <c r="G55" i="58"/>
  <c r="S55" i="58" s="1"/>
  <c r="T55" i="58" s="1"/>
  <c r="V55" i="58" s="1"/>
  <c r="G33" i="58"/>
  <c r="S33" i="58" s="1"/>
  <c r="T33" i="58" s="1"/>
  <c r="V33" i="58" s="1"/>
  <c r="G21" i="58"/>
  <c r="S21" i="58" s="1"/>
  <c r="T21" i="58" s="1"/>
  <c r="V21" i="58" s="1"/>
  <c r="G90" i="58"/>
  <c r="S90" i="58" s="1"/>
  <c r="T90" i="58" s="1"/>
  <c r="V90" i="58" s="1"/>
  <c r="G78" i="58"/>
  <c r="S78" i="58" s="1"/>
  <c r="T78" i="58" s="1"/>
  <c r="V78" i="58" s="1"/>
  <c r="G66" i="58"/>
  <c r="S66" i="58" s="1"/>
  <c r="T66" i="58" s="1"/>
  <c r="V66" i="58" s="1"/>
  <c r="G54" i="58"/>
  <c r="S54" i="58" s="1"/>
  <c r="T54" i="58" s="1"/>
  <c r="V54" i="58" s="1"/>
  <c r="G32" i="58"/>
  <c r="S32" i="58" s="1"/>
  <c r="T32" i="58" s="1"/>
  <c r="V32" i="58" s="1"/>
  <c r="G20" i="58"/>
  <c r="S20" i="58" s="1"/>
  <c r="T20" i="58" s="1"/>
  <c r="V20" i="58" s="1"/>
  <c r="G89" i="58"/>
  <c r="S89" i="58" s="1"/>
  <c r="T89" i="58" s="1"/>
  <c r="V89" i="58" s="1"/>
  <c r="G77" i="58"/>
  <c r="S77" i="58" s="1"/>
  <c r="T77" i="58" s="1"/>
  <c r="V77" i="58" s="1"/>
  <c r="G65" i="58"/>
  <c r="S65" i="58" s="1"/>
  <c r="T65" i="58" s="1"/>
  <c r="V65" i="58" s="1"/>
  <c r="G53" i="58"/>
  <c r="S53" i="58" s="1"/>
  <c r="T53" i="58" s="1"/>
  <c r="V53" i="58" s="1"/>
  <c r="G31" i="58"/>
  <c r="S31" i="58" s="1"/>
  <c r="T31" i="58" s="1"/>
  <c r="V31" i="58" s="1"/>
  <c r="G19" i="58"/>
  <c r="S19" i="58" s="1"/>
  <c r="T19" i="58" s="1"/>
  <c r="V19" i="58" s="1"/>
  <c r="G88" i="58"/>
  <c r="S88" i="58" s="1"/>
  <c r="T88" i="58" s="1"/>
  <c r="V88" i="58" s="1"/>
  <c r="G76" i="58"/>
  <c r="S76" i="58" s="1"/>
  <c r="T76" i="58" s="1"/>
  <c r="V76" i="58" s="1"/>
  <c r="G64" i="58"/>
  <c r="S64" i="58" s="1"/>
  <c r="T64" i="58" s="1"/>
  <c r="V64" i="58" s="1"/>
  <c r="G52" i="58"/>
  <c r="S52" i="58" s="1"/>
  <c r="T52" i="58" s="1"/>
  <c r="V52" i="58" s="1"/>
  <c r="G30" i="58"/>
  <c r="S30" i="58" s="1"/>
  <c r="T30" i="58" s="1"/>
  <c r="V30" i="58" s="1"/>
  <c r="G18" i="58"/>
  <c r="S18" i="58" s="1"/>
  <c r="T18" i="58" s="1"/>
  <c r="V18" i="58" s="1"/>
  <c r="G87" i="58"/>
  <c r="S87" i="58" s="1"/>
  <c r="T87" i="58" s="1"/>
  <c r="V87" i="58" s="1"/>
  <c r="G75" i="58"/>
  <c r="S75" i="58" s="1"/>
  <c r="T75" i="58" s="1"/>
  <c r="V75" i="58" s="1"/>
  <c r="G63" i="58"/>
  <c r="S63" i="58" s="1"/>
  <c r="T63" i="58" s="1"/>
  <c r="V63" i="58" s="1"/>
  <c r="G51" i="58"/>
  <c r="S51" i="58" s="1"/>
  <c r="T51" i="58" s="1"/>
  <c r="V51" i="58" s="1"/>
  <c r="G29" i="58"/>
  <c r="S29" i="58" s="1"/>
  <c r="T29" i="58" s="1"/>
  <c r="V29" i="58" s="1"/>
  <c r="G17" i="58"/>
  <c r="S17" i="58" s="1"/>
  <c r="T17" i="58" s="1"/>
  <c r="V17" i="58" s="1"/>
  <c r="G86" i="58"/>
  <c r="S86" i="58" s="1"/>
  <c r="T86" i="58" s="1"/>
  <c r="V86" i="58" s="1"/>
  <c r="G74" i="58"/>
  <c r="S74" i="58" s="1"/>
  <c r="T74" i="58" s="1"/>
  <c r="V74" i="58" s="1"/>
  <c r="G62" i="58"/>
  <c r="S62" i="58" s="1"/>
  <c r="T62" i="58" s="1"/>
  <c r="V62" i="58" s="1"/>
  <c r="G50" i="58"/>
  <c r="S50" i="58" s="1"/>
  <c r="T50" i="58" s="1"/>
  <c r="V50" i="58" s="1"/>
  <c r="G28" i="58"/>
  <c r="S28" i="58" s="1"/>
  <c r="T28" i="58" s="1"/>
  <c r="V28" i="58" s="1"/>
  <c r="G16" i="58"/>
  <c r="S16" i="58" s="1"/>
  <c r="T16" i="58" s="1"/>
  <c r="V16" i="58" s="1"/>
  <c r="G85" i="58"/>
  <c r="S85" i="58" s="1"/>
  <c r="T85" i="58" s="1"/>
  <c r="V85" i="58" s="1"/>
  <c r="G73" i="58"/>
  <c r="S73" i="58" s="1"/>
  <c r="T73" i="58" s="1"/>
  <c r="V73" i="58" s="1"/>
  <c r="G61" i="58"/>
  <c r="S61" i="58" s="1"/>
  <c r="T61" i="58" s="1"/>
  <c r="V61" i="58" s="1"/>
  <c r="G49" i="58"/>
  <c r="S49" i="58" s="1"/>
  <c r="T49" i="58" s="1"/>
  <c r="V49" i="58" s="1"/>
  <c r="G27" i="58"/>
  <c r="S27" i="58" s="1"/>
  <c r="T27" i="58" s="1"/>
  <c r="V27" i="58" s="1"/>
  <c r="G15" i="58"/>
  <c r="S15" i="58" s="1"/>
  <c r="T15" i="58" s="1"/>
  <c r="V15" i="58" s="1"/>
  <c r="R34" i="58"/>
  <c r="K12" i="58"/>
  <c r="I13" i="58"/>
  <c r="G84" i="58"/>
  <c r="S84" i="58" s="1"/>
  <c r="T84" i="58" s="1"/>
  <c r="V84" i="58" s="1"/>
  <c r="G72" i="58"/>
  <c r="S72" i="58" s="1"/>
  <c r="T72" i="58" s="1"/>
  <c r="V72" i="58" s="1"/>
  <c r="G60" i="58"/>
  <c r="S60" i="58" s="1"/>
  <c r="T60" i="58" s="1"/>
  <c r="V60" i="58" s="1"/>
  <c r="G48" i="58"/>
  <c r="S48" i="58" s="1"/>
  <c r="T48" i="58" s="1"/>
  <c r="V48" i="58" s="1"/>
  <c r="G26" i="58"/>
  <c r="S26" i="58" s="1"/>
  <c r="T26" i="58" s="1"/>
  <c r="V26" i="58" s="1"/>
  <c r="G14" i="58"/>
  <c r="S14" i="58" s="1"/>
  <c r="T14" i="58" s="1"/>
  <c r="V14" i="58" s="1"/>
  <c r="G95" i="58"/>
  <c r="S95" i="58" s="1"/>
  <c r="T95" i="58" s="1"/>
  <c r="V95" i="58" s="1"/>
  <c r="G83" i="58"/>
  <c r="S83" i="58" s="1"/>
  <c r="T83" i="58" s="1"/>
  <c r="V83" i="58" s="1"/>
  <c r="G71" i="58"/>
  <c r="S71" i="58" s="1"/>
  <c r="T71" i="58" s="1"/>
  <c r="V71" i="58" s="1"/>
  <c r="G59" i="58"/>
  <c r="S59" i="58" s="1"/>
  <c r="T59" i="58" s="1"/>
  <c r="V59" i="58" s="1"/>
  <c r="G47" i="58"/>
  <c r="S47" i="58" s="1"/>
  <c r="T47" i="58" s="1"/>
  <c r="V47" i="58" s="1"/>
  <c r="G25" i="58"/>
  <c r="S25" i="58" s="1"/>
  <c r="T25" i="58" s="1"/>
  <c r="V25" i="58" s="1"/>
  <c r="U12" i="58"/>
  <c r="G94" i="58"/>
  <c r="S94" i="58" s="1"/>
  <c r="T94" i="58" s="1"/>
  <c r="V94" i="58" s="1"/>
  <c r="G82" i="58"/>
  <c r="S82" i="58" s="1"/>
  <c r="T82" i="58" s="1"/>
  <c r="V82" i="58" s="1"/>
  <c r="G70" i="58"/>
  <c r="S70" i="58" s="1"/>
  <c r="T70" i="58" s="1"/>
  <c r="V70" i="58" s="1"/>
  <c r="G58" i="58"/>
  <c r="S58" i="58" s="1"/>
  <c r="T58" i="58" s="1"/>
  <c r="V58" i="58" s="1"/>
  <c r="G46" i="58"/>
  <c r="S46" i="58" s="1"/>
  <c r="T46" i="58" s="1"/>
  <c r="V46" i="58" s="1"/>
  <c r="G24" i="58"/>
  <c r="S24" i="58" s="1"/>
  <c r="T24" i="58" s="1"/>
  <c r="V24" i="58" s="1"/>
  <c r="E26" i="76"/>
  <c r="S26" i="76" s="1"/>
  <c r="T26" i="76" s="1"/>
  <c r="V26" i="76" s="1"/>
  <c r="E24" i="76"/>
  <c r="S24" i="76" s="1"/>
  <c r="T24" i="76" s="1"/>
  <c r="V24" i="76" s="1"/>
  <c r="E45" i="76"/>
  <c r="S45" i="76" s="1"/>
  <c r="T45" i="76" s="1"/>
  <c r="V45" i="76" s="1"/>
  <c r="E23" i="76"/>
  <c r="S23" i="76" s="1"/>
  <c r="T23" i="76" s="1"/>
  <c r="V23" i="76" s="1"/>
  <c r="E44" i="76"/>
  <c r="S44" i="76" s="1"/>
  <c r="T44" i="76" s="1"/>
  <c r="V44" i="76" s="1"/>
  <c r="E27" i="76"/>
  <c r="S27" i="76" s="1"/>
  <c r="T27" i="76" s="1"/>
  <c r="V27" i="76" s="1"/>
  <c r="E39" i="76"/>
  <c r="S39" i="76" s="1"/>
  <c r="T39" i="76" s="1"/>
  <c r="V39" i="76" s="1"/>
  <c r="E21" i="76"/>
  <c r="S21" i="76" s="1"/>
  <c r="T21" i="76" s="1"/>
  <c r="V21" i="76" s="1"/>
  <c r="E36" i="76"/>
  <c r="S36" i="76" s="1"/>
  <c r="T36" i="76" s="1"/>
  <c r="V36" i="76" s="1"/>
  <c r="E25" i="76"/>
  <c r="S25" i="76" s="1"/>
  <c r="T25" i="76" s="1"/>
  <c r="V25" i="76" s="1"/>
  <c r="E38" i="76"/>
  <c r="S38" i="76" s="1"/>
  <c r="T38" i="76" s="1"/>
  <c r="V38" i="76" s="1"/>
  <c r="E20" i="76"/>
  <c r="S20" i="76" s="1"/>
  <c r="T20" i="76" s="1"/>
  <c r="V20" i="76" s="1"/>
  <c r="E35" i="76"/>
  <c r="S35" i="76" s="1"/>
  <c r="T35" i="76" s="1"/>
  <c r="V35" i="76" s="1"/>
  <c r="P19" i="76"/>
  <c r="R19" i="76" s="1"/>
  <c r="Q18" i="76"/>
  <c r="R18" i="76" s="1"/>
  <c r="G13" i="76"/>
  <c r="Q13" i="76"/>
  <c r="R13" i="76" s="1"/>
  <c r="I47" i="76"/>
  <c r="K18" i="76"/>
  <c r="G18" i="76" s="1"/>
  <c r="E18" i="76" s="1"/>
  <c r="S18" i="76" s="1"/>
  <c r="T18" i="76" s="1"/>
  <c r="V18" i="76" s="1"/>
  <c r="G19" i="76"/>
  <c r="E19" i="76" s="1"/>
  <c r="S19" i="76" s="1"/>
  <c r="T19" i="76" s="1"/>
  <c r="V19" i="76" s="1"/>
  <c r="I45" i="58"/>
  <c r="M44" i="58"/>
  <c r="I44" i="58" s="1"/>
  <c r="M43" i="58"/>
  <c r="I43" i="58"/>
  <c r="M42" i="58"/>
  <c r="I42" i="58" s="1"/>
  <c r="M41" i="58"/>
  <c r="I41" i="58" s="1"/>
  <c r="M39" i="58"/>
  <c r="I39" i="58" s="1"/>
  <c r="M38" i="58"/>
  <c r="I38" i="58"/>
  <c r="M37" i="58"/>
  <c r="I37" i="58" s="1"/>
  <c r="U96" i="58"/>
  <c r="M36" i="58"/>
  <c r="I36" i="58" s="1"/>
  <c r="M35" i="58"/>
  <c r="I35" i="58"/>
  <c r="M34" i="58"/>
  <c r="I34" i="58" s="1"/>
  <c r="P19" i="83"/>
  <c r="O19" i="83"/>
  <c r="Q19" i="83" s="1"/>
  <c r="E19" i="83" s="1"/>
  <c r="R19" i="83" s="1"/>
  <c r="S19" i="83" s="1"/>
  <c r="U19" i="83" s="1"/>
  <c r="F47" i="76"/>
  <c r="G39" i="58" l="1"/>
  <c r="S39" i="58" s="1"/>
  <c r="T39" i="58" s="1"/>
  <c r="V39" i="58" s="1"/>
  <c r="G34" i="58"/>
  <c r="S34" i="58" s="1"/>
  <c r="T34" i="58" s="1"/>
  <c r="V34" i="58" s="1"/>
  <c r="G35" i="58"/>
  <c r="S35" i="58" s="1"/>
  <c r="T35" i="58" s="1"/>
  <c r="V35" i="58" s="1"/>
  <c r="G43" i="58"/>
  <c r="S43" i="58" s="1"/>
  <c r="T43" i="58" s="1"/>
  <c r="V43" i="58" s="1"/>
  <c r="M96" i="58"/>
  <c r="I96" i="58" s="1"/>
  <c r="M12" i="58"/>
  <c r="G36" i="58"/>
  <c r="S36" i="58" s="1"/>
  <c r="T36" i="58" s="1"/>
  <c r="V36" i="58" s="1"/>
  <c r="G44" i="58"/>
  <c r="S44" i="58" s="1"/>
  <c r="T44" i="58" s="1"/>
  <c r="V44" i="58" s="1"/>
  <c r="I12" i="58"/>
  <c r="G13" i="58"/>
  <c r="G42" i="58"/>
  <c r="S42" i="58" s="1"/>
  <c r="T42" i="58" s="1"/>
  <c r="V42" i="58" s="1"/>
  <c r="R12" i="58"/>
  <c r="G38" i="58"/>
  <c r="S38" i="58" s="1"/>
  <c r="T38" i="58" s="1"/>
  <c r="V38" i="58" s="1"/>
  <c r="R96" i="58"/>
  <c r="G41" i="58"/>
  <c r="S41" i="58" s="1"/>
  <c r="T41" i="58" s="1"/>
  <c r="V41" i="58" s="1"/>
  <c r="G37" i="58"/>
  <c r="S37" i="58" s="1"/>
  <c r="T37" i="58" s="1"/>
  <c r="V37" i="58" s="1"/>
  <c r="G45" i="58"/>
  <c r="S45" i="58" s="1"/>
  <c r="T45" i="58" s="1"/>
  <c r="V45" i="58" s="1"/>
  <c r="K47" i="76"/>
  <c r="E13" i="76"/>
  <c r="S13" i="76" s="1"/>
  <c r="T13" i="76" s="1"/>
  <c r="V13" i="76" s="1"/>
  <c r="U47" i="76"/>
  <c r="P47" i="76"/>
  <c r="Q47" i="76"/>
  <c r="AB28" i="85"/>
  <c r="AB29" i="85"/>
  <c r="AA28" i="85"/>
  <c r="AA29" i="85"/>
  <c r="Z28" i="85"/>
  <c r="Z29" i="85"/>
  <c r="O29" i="85"/>
  <c r="O30" i="85" s="1"/>
  <c r="O28" i="85"/>
  <c r="U28" i="85"/>
  <c r="J29" i="85"/>
  <c r="J28" i="85"/>
  <c r="D29" i="85"/>
  <c r="D28" i="85"/>
  <c r="C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27" i="28" s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H9" i="4"/>
  <c r="L9" i="4" s="1"/>
  <c r="H10" i="4"/>
  <c r="L10" i="4" s="1"/>
  <c r="H11" i="4"/>
  <c r="H12" i="4"/>
  <c r="H13" i="4"/>
  <c r="H14" i="4"/>
  <c r="H15" i="4"/>
  <c r="H16" i="4"/>
  <c r="H17" i="4"/>
  <c r="H18" i="4"/>
  <c r="H19" i="4"/>
  <c r="H20" i="4"/>
  <c r="L20" i="4" s="1"/>
  <c r="H21" i="4"/>
  <c r="L21" i="4" s="1"/>
  <c r="H22" i="4"/>
  <c r="L22" i="4" s="1"/>
  <c r="H23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8" i="4"/>
  <c r="J24" i="4" s="1"/>
  <c r="I8" i="4"/>
  <c r="I24" i="4" s="1"/>
  <c r="H8" i="4"/>
  <c r="G24" i="4"/>
  <c r="F24" i="4"/>
  <c r="E24" i="4"/>
  <c r="U89" i="85"/>
  <c r="R89" i="85"/>
  <c r="Q89" i="85"/>
  <c r="W89" i="85" s="1"/>
  <c r="P89" i="85"/>
  <c r="V89" i="85" s="1"/>
  <c r="O89" i="85"/>
  <c r="N89" i="85"/>
  <c r="J89" i="85"/>
  <c r="D89" i="85"/>
  <c r="H89" i="85" s="1"/>
  <c r="S89" i="85" s="1"/>
  <c r="Y89" i="85" s="1"/>
  <c r="Y88" i="85"/>
  <c r="W88" i="85"/>
  <c r="V88" i="85"/>
  <c r="S88" i="85"/>
  <c r="O88" i="85"/>
  <c r="U88" i="85" s="1"/>
  <c r="N88" i="85"/>
  <c r="J88" i="85"/>
  <c r="H88" i="85"/>
  <c r="D88" i="85"/>
  <c r="W87" i="85"/>
  <c r="R87" i="85"/>
  <c r="Q87" i="85"/>
  <c r="P87" i="85"/>
  <c r="V87" i="85" s="1"/>
  <c r="J87" i="85"/>
  <c r="O87" i="85" s="1"/>
  <c r="U87" i="85" s="1"/>
  <c r="D87" i="85"/>
  <c r="H87" i="85" s="1"/>
  <c r="R86" i="85"/>
  <c r="Q86" i="85"/>
  <c r="W86" i="85" s="1"/>
  <c r="P86" i="85"/>
  <c r="V86" i="85" s="1"/>
  <c r="O86" i="85"/>
  <c r="U86" i="85" s="1"/>
  <c r="N86" i="85"/>
  <c r="S86" i="85" s="1"/>
  <c r="Y86" i="85" s="1"/>
  <c r="J86" i="85"/>
  <c r="D86" i="85"/>
  <c r="H86" i="85" s="1"/>
  <c r="E83" i="85"/>
  <c r="V82" i="85"/>
  <c r="U82" i="85"/>
  <c r="S82" i="85"/>
  <c r="Y82" i="85" s="1"/>
  <c r="R82" i="85"/>
  <c r="Q82" i="85"/>
  <c r="W82" i="85" s="1"/>
  <c r="P82" i="85"/>
  <c r="O82" i="85"/>
  <c r="N82" i="85"/>
  <c r="J82" i="85"/>
  <c r="H82" i="85"/>
  <c r="D82" i="85"/>
  <c r="W81" i="85"/>
  <c r="R81" i="85"/>
  <c r="Q81" i="85"/>
  <c r="P81" i="85"/>
  <c r="V81" i="85" s="1"/>
  <c r="J81" i="85"/>
  <c r="J83" i="85" s="1"/>
  <c r="D81" i="85"/>
  <c r="H81" i="85" s="1"/>
  <c r="R80" i="85"/>
  <c r="Q80" i="85"/>
  <c r="W80" i="85" s="1"/>
  <c r="P80" i="85"/>
  <c r="V80" i="85" s="1"/>
  <c r="O80" i="85"/>
  <c r="N80" i="85"/>
  <c r="J80" i="85"/>
  <c r="D80" i="85"/>
  <c r="H80" i="85" s="1"/>
  <c r="H83" i="85" s="1"/>
  <c r="N76" i="85"/>
  <c r="J76" i="85"/>
  <c r="O76" i="85" s="1"/>
  <c r="U76" i="85" s="1"/>
  <c r="D76" i="85"/>
  <c r="H76" i="85" s="1"/>
  <c r="S76" i="85" s="1"/>
  <c r="Y76" i="85" s="1"/>
  <c r="N75" i="85"/>
  <c r="L75" i="85"/>
  <c r="O75" i="85" s="1"/>
  <c r="F75" i="85"/>
  <c r="V74" i="85"/>
  <c r="R74" i="85"/>
  <c r="P74" i="85"/>
  <c r="O74" i="85"/>
  <c r="U74" i="85" s="1"/>
  <c r="L74" i="85"/>
  <c r="J74" i="85"/>
  <c r="D74" i="85"/>
  <c r="V73" i="85"/>
  <c r="R73" i="85"/>
  <c r="P73" i="85"/>
  <c r="J73" i="85"/>
  <c r="L73" i="85" s="1"/>
  <c r="D73" i="85"/>
  <c r="W72" i="85"/>
  <c r="V72" i="85"/>
  <c r="R72" i="85"/>
  <c r="Q72" i="85"/>
  <c r="P72" i="85"/>
  <c r="O72" i="85"/>
  <c r="U72" i="85" s="1"/>
  <c r="AA72" i="85" s="1"/>
  <c r="J72" i="85"/>
  <c r="N72" i="85" s="1"/>
  <c r="S72" i="85" s="1"/>
  <c r="Y72" i="85" s="1"/>
  <c r="H72" i="85"/>
  <c r="D72" i="85"/>
  <c r="R71" i="85"/>
  <c r="Q71" i="85"/>
  <c r="W71" i="85" s="1"/>
  <c r="P71" i="85"/>
  <c r="V71" i="85" s="1"/>
  <c r="J71" i="85"/>
  <c r="O71" i="85" s="1"/>
  <c r="U71" i="85" s="1"/>
  <c r="H71" i="85"/>
  <c r="D71" i="85"/>
  <c r="V70" i="85"/>
  <c r="R70" i="85"/>
  <c r="P70" i="85"/>
  <c r="N70" i="85"/>
  <c r="L70" i="85"/>
  <c r="J70" i="85"/>
  <c r="D70" i="85"/>
  <c r="F70" i="85" s="1"/>
  <c r="Q70" i="85" s="1"/>
  <c r="W70" i="85" s="1"/>
  <c r="R69" i="85"/>
  <c r="Q69" i="85"/>
  <c r="W69" i="85" s="1"/>
  <c r="P69" i="85"/>
  <c r="V69" i="85" s="1"/>
  <c r="O69" i="85"/>
  <c r="U69" i="85" s="1"/>
  <c r="N69" i="85"/>
  <c r="J69" i="85"/>
  <c r="D69" i="85"/>
  <c r="H69" i="85" s="1"/>
  <c r="V68" i="85"/>
  <c r="U68" i="85"/>
  <c r="S68" i="85"/>
  <c r="Y68" i="85" s="1"/>
  <c r="R68" i="85"/>
  <c r="Q68" i="85"/>
  <c r="W68" i="85" s="1"/>
  <c r="P68" i="85"/>
  <c r="O68" i="85"/>
  <c r="N68" i="85"/>
  <c r="J68" i="85"/>
  <c r="H68" i="85"/>
  <c r="D68" i="85"/>
  <c r="W67" i="85"/>
  <c r="R67" i="85"/>
  <c r="Q67" i="85"/>
  <c r="P67" i="85"/>
  <c r="V67" i="85" s="1"/>
  <c r="J67" i="85"/>
  <c r="D67" i="85"/>
  <c r="H67" i="85" s="1"/>
  <c r="R66" i="85"/>
  <c r="P66" i="85"/>
  <c r="V66" i="85" s="1"/>
  <c r="O66" i="85"/>
  <c r="U66" i="85" s="1"/>
  <c r="J66" i="85"/>
  <c r="L66" i="85" s="1"/>
  <c r="N66" i="85" s="1"/>
  <c r="S66" i="85" s="1"/>
  <c r="Y66" i="85" s="1"/>
  <c r="H66" i="85"/>
  <c r="F66" i="85"/>
  <c r="D66" i="85"/>
  <c r="V65" i="85"/>
  <c r="R65" i="85"/>
  <c r="P65" i="85"/>
  <c r="J65" i="85"/>
  <c r="O65" i="85" s="1"/>
  <c r="U65" i="85" s="1"/>
  <c r="D65" i="85"/>
  <c r="F65" i="85" s="1"/>
  <c r="R64" i="85"/>
  <c r="Q64" i="85"/>
  <c r="W64" i="85" s="1"/>
  <c r="P64" i="85"/>
  <c r="V64" i="85" s="1"/>
  <c r="O64" i="85"/>
  <c r="U64" i="85" s="1"/>
  <c r="J64" i="85"/>
  <c r="N64" i="85" s="1"/>
  <c r="D64" i="85"/>
  <c r="H64" i="85" s="1"/>
  <c r="V63" i="85"/>
  <c r="R63" i="85"/>
  <c r="Q63" i="85"/>
  <c r="W63" i="85" s="1"/>
  <c r="P63" i="85"/>
  <c r="O63" i="85"/>
  <c r="U63" i="85" s="1"/>
  <c r="J63" i="85"/>
  <c r="N63" i="85" s="1"/>
  <c r="S63" i="85" s="1"/>
  <c r="Y63" i="85" s="1"/>
  <c r="D63" i="85"/>
  <c r="H63" i="85" s="1"/>
  <c r="V62" i="85"/>
  <c r="R62" i="85"/>
  <c r="P62" i="85"/>
  <c r="L62" i="85"/>
  <c r="J62" i="85"/>
  <c r="O62" i="85" s="1"/>
  <c r="U62" i="85" s="1"/>
  <c r="D62" i="85"/>
  <c r="F62" i="85" s="1"/>
  <c r="R61" i="85"/>
  <c r="P61" i="85"/>
  <c r="V61" i="85" s="1"/>
  <c r="O61" i="85"/>
  <c r="U61" i="85" s="1"/>
  <c r="L61" i="85"/>
  <c r="N61" i="85" s="1"/>
  <c r="J61" i="85"/>
  <c r="D61" i="85"/>
  <c r="W60" i="85"/>
  <c r="V60" i="85"/>
  <c r="R60" i="85"/>
  <c r="Q60" i="85"/>
  <c r="P60" i="85"/>
  <c r="J60" i="85"/>
  <c r="H60" i="85"/>
  <c r="D60" i="85"/>
  <c r="R59" i="85"/>
  <c r="Q59" i="85"/>
  <c r="W59" i="85" s="1"/>
  <c r="P59" i="85"/>
  <c r="V59" i="85" s="1"/>
  <c r="J59" i="85"/>
  <c r="N59" i="85" s="1"/>
  <c r="S59" i="85" s="1"/>
  <c r="Y59" i="85" s="1"/>
  <c r="D59" i="85"/>
  <c r="H59" i="85" s="1"/>
  <c r="W58" i="85"/>
  <c r="V58" i="85"/>
  <c r="U58" i="85"/>
  <c r="O58" i="85"/>
  <c r="N58" i="85"/>
  <c r="J58" i="85"/>
  <c r="H58" i="85"/>
  <c r="S58" i="85" s="1"/>
  <c r="Y58" i="85" s="1"/>
  <c r="D58" i="85"/>
  <c r="V57" i="85"/>
  <c r="R57" i="85"/>
  <c r="P57" i="85"/>
  <c r="J57" i="85"/>
  <c r="D57" i="85"/>
  <c r="F57" i="85" s="1"/>
  <c r="W56" i="85"/>
  <c r="R56" i="85"/>
  <c r="Q56" i="85"/>
  <c r="P56" i="85"/>
  <c r="V56" i="85" s="1"/>
  <c r="Z56" i="85" s="1"/>
  <c r="O56" i="85"/>
  <c r="U56" i="85" s="1"/>
  <c r="N56" i="85"/>
  <c r="J56" i="85"/>
  <c r="H56" i="85"/>
  <c r="D56" i="85"/>
  <c r="U55" i="85"/>
  <c r="S55" i="85"/>
  <c r="Y55" i="85" s="1"/>
  <c r="R55" i="85"/>
  <c r="Q55" i="85"/>
  <c r="W55" i="85" s="1"/>
  <c r="P55" i="85"/>
  <c r="V55" i="85" s="1"/>
  <c r="O55" i="85"/>
  <c r="N55" i="85"/>
  <c r="J55" i="85"/>
  <c r="H55" i="85"/>
  <c r="D55" i="85"/>
  <c r="W54" i="85"/>
  <c r="V54" i="85"/>
  <c r="U54" i="85"/>
  <c r="Z54" i="85" s="1"/>
  <c r="R54" i="85"/>
  <c r="Q54" i="85"/>
  <c r="P54" i="85"/>
  <c r="N54" i="85"/>
  <c r="J54" i="85"/>
  <c r="H54" i="85"/>
  <c r="D54" i="85"/>
  <c r="O54" i="85" s="1"/>
  <c r="W53" i="85"/>
  <c r="R53" i="85"/>
  <c r="Q53" i="85"/>
  <c r="P53" i="85"/>
  <c r="V53" i="85" s="1"/>
  <c r="O53" i="85"/>
  <c r="U53" i="85" s="1"/>
  <c r="N53" i="85"/>
  <c r="S53" i="85" s="1"/>
  <c r="Y53" i="85" s="1"/>
  <c r="J53" i="85"/>
  <c r="H53" i="85"/>
  <c r="D53" i="85"/>
  <c r="U52" i="85"/>
  <c r="S52" i="85"/>
  <c r="Y52" i="85" s="1"/>
  <c r="R52" i="85"/>
  <c r="Q52" i="85"/>
  <c r="W52" i="85" s="1"/>
  <c r="P52" i="85"/>
  <c r="V52" i="85" s="1"/>
  <c r="O52" i="85"/>
  <c r="N52" i="85"/>
  <c r="J52" i="85"/>
  <c r="H52" i="85"/>
  <c r="D52" i="85"/>
  <c r="W51" i="85"/>
  <c r="V51" i="85"/>
  <c r="R51" i="85"/>
  <c r="Q51" i="85"/>
  <c r="P51" i="85"/>
  <c r="N51" i="85"/>
  <c r="J51" i="85"/>
  <c r="D51" i="85"/>
  <c r="O51" i="85" s="1"/>
  <c r="U51" i="85" s="1"/>
  <c r="W50" i="85"/>
  <c r="R50" i="85"/>
  <c r="Q50" i="85"/>
  <c r="P50" i="85"/>
  <c r="V50" i="85" s="1"/>
  <c r="O50" i="85"/>
  <c r="U50" i="85" s="1"/>
  <c r="Z50" i="85" s="1"/>
  <c r="N50" i="85"/>
  <c r="S50" i="85" s="1"/>
  <c r="Y50" i="85" s="1"/>
  <c r="J50" i="85"/>
  <c r="H50" i="85"/>
  <c r="D50" i="85"/>
  <c r="U49" i="85"/>
  <c r="R49" i="85"/>
  <c r="Q49" i="85"/>
  <c r="W49" i="85" s="1"/>
  <c r="P49" i="85"/>
  <c r="V49" i="85" s="1"/>
  <c r="O49" i="85"/>
  <c r="N49" i="85"/>
  <c r="S49" i="85" s="1"/>
  <c r="Y49" i="85" s="1"/>
  <c r="J49" i="85"/>
  <c r="H49" i="85"/>
  <c r="D49" i="85"/>
  <c r="W48" i="85"/>
  <c r="V48" i="85"/>
  <c r="R48" i="85"/>
  <c r="Q48" i="85"/>
  <c r="P48" i="85"/>
  <c r="N48" i="85"/>
  <c r="J48" i="85"/>
  <c r="D48" i="85"/>
  <c r="O48" i="85" s="1"/>
  <c r="U48" i="85" s="1"/>
  <c r="R47" i="85"/>
  <c r="P47" i="85"/>
  <c r="V47" i="85" s="1"/>
  <c r="J47" i="85"/>
  <c r="O47" i="85" s="1"/>
  <c r="U47" i="85" s="1"/>
  <c r="D47" i="85"/>
  <c r="H47" i="85" s="1"/>
  <c r="V46" i="85"/>
  <c r="R46" i="85"/>
  <c r="Q46" i="85"/>
  <c r="W46" i="85" s="1"/>
  <c r="P46" i="85"/>
  <c r="L46" i="85"/>
  <c r="N46" i="85" s="1"/>
  <c r="J46" i="85"/>
  <c r="F46" i="85"/>
  <c r="D46" i="85"/>
  <c r="H46" i="85" s="1"/>
  <c r="S46" i="85" s="1"/>
  <c r="Y46" i="85" s="1"/>
  <c r="V45" i="85"/>
  <c r="R45" i="85"/>
  <c r="Q45" i="85"/>
  <c r="W45" i="85" s="1"/>
  <c r="P45" i="85"/>
  <c r="J45" i="85"/>
  <c r="O45" i="85" s="1"/>
  <c r="U45" i="85" s="1"/>
  <c r="H45" i="85"/>
  <c r="D45" i="85"/>
  <c r="R44" i="85"/>
  <c r="Q44" i="85"/>
  <c r="W44" i="85" s="1"/>
  <c r="P44" i="85"/>
  <c r="V44" i="85" s="1"/>
  <c r="J44" i="85"/>
  <c r="N44" i="85" s="1"/>
  <c r="S44" i="85" s="1"/>
  <c r="Y44" i="85" s="1"/>
  <c r="D44" i="85"/>
  <c r="H44" i="85" s="1"/>
  <c r="V43" i="85"/>
  <c r="R43" i="85"/>
  <c r="P43" i="85"/>
  <c r="L43" i="85"/>
  <c r="J43" i="85"/>
  <c r="N43" i="85" s="1"/>
  <c r="F43" i="85"/>
  <c r="Q43" i="85" s="1"/>
  <c r="W43" i="85" s="1"/>
  <c r="D43" i="85"/>
  <c r="H43" i="85" s="1"/>
  <c r="S43" i="85" s="1"/>
  <c r="Y43" i="85" s="1"/>
  <c r="Y42" i="85"/>
  <c r="R42" i="85"/>
  <c r="Q42" i="85"/>
  <c r="W42" i="85" s="1"/>
  <c r="P42" i="85"/>
  <c r="V42" i="85" s="1"/>
  <c r="N42" i="85"/>
  <c r="S42" i="85" s="1"/>
  <c r="J42" i="85"/>
  <c r="D42" i="85"/>
  <c r="H42" i="85" s="1"/>
  <c r="V41" i="85"/>
  <c r="S41" i="85"/>
  <c r="Y41" i="85" s="1"/>
  <c r="R41" i="85"/>
  <c r="Q41" i="85"/>
  <c r="W41" i="85" s="1"/>
  <c r="P41" i="85"/>
  <c r="O41" i="85"/>
  <c r="U41" i="85" s="1"/>
  <c r="J41" i="85"/>
  <c r="N41" i="85" s="1"/>
  <c r="D41" i="85"/>
  <c r="H41" i="85" s="1"/>
  <c r="W40" i="85"/>
  <c r="V40" i="85"/>
  <c r="R40" i="85"/>
  <c r="Q40" i="85"/>
  <c r="P40" i="85"/>
  <c r="J40" i="85"/>
  <c r="D40" i="85"/>
  <c r="H40" i="85" s="1"/>
  <c r="V39" i="85"/>
  <c r="R39" i="85"/>
  <c r="Q39" i="85"/>
  <c r="W39" i="85" s="1"/>
  <c r="P39" i="85"/>
  <c r="J39" i="85"/>
  <c r="N39" i="85" s="1"/>
  <c r="S39" i="85" s="1"/>
  <c r="Y39" i="85" s="1"/>
  <c r="D39" i="85"/>
  <c r="H39" i="85" s="1"/>
  <c r="V38" i="85"/>
  <c r="S38" i="85"/>
  <c r="Y38" i="85" s="1"/>
  <c r="R38" i="85"/>
  <c r="Q38" i="85"/>
  <c r="W38" i="85" s="1"/>
  <c r="P38" i="85"/>
  <c r="J38" i="85"/>
  <c r="N38" i="85" s="1"/>
  <c r="D38" i="85"/>
  <c r="H38" i="85" s="1"/>
  <c r="AA37" i="85"/>
  <c r="W37" i="85"/>
  <c r="V37" i="85"/>
  <c r="Z37" i="85" s="1"/>
  <c r="U37" i="85"/>
  <c r="S37" i="85"/>
  <c r="Y37" i="85" s="1"/>
  <c r="O37" i="85"/>
  <c r="N37" i="85"/>
  <c r="J37" i="85"/>
  <c r="H37" i="85"/>
  <c r="D37" i="85"/>
  <c r="W36" i="85"/>
  <c r="R36" i="85"/>
  <c r="Q36" i="85"/>
  <c r="P36" i="85"/>
  <c r="V36" i="85" s="1"/>
  <c r="J36" i="85"/>
  <c r="D36" i="85"/>
  <c r="H36" i="85" s="1"/>
  <c r="R35" i="85"/>
  <c r="Q35" i="85"/>
  <c r="W35" i="85" s="1"/>
  <c r="P35" i="85"/>
  <c r="V35" i="85" s="1"/>
  <c r="O35" i="85"/>
  <c r="U35" i="85" s="1"/>
  <c r="N35" i="85"/>
  <c r="S35" i="85" s="1"/>
  <c r="Y35" i="85" s="1"/>
  <c r="J35" i="85"/>
  <c r="H35" i="85"/>
  <c r="D35" i="85"/>
  <c r="W34" i="85"/>
  <c r="V34" i="85"/>
  <c r="U34" i="85"/>
  <c r="S34" i="85"/>
  <c r="Y34" i="85" s="1"/>
  <c r="R34" i="85"/>
  <c r="Q34" i="85"/>
  <c r="P34" i="85"/>
  <c r="O34" i="85"/>
  <c r="N34" i="85"/>
  <c r="J34" i="85"/>
  <c r="H34" i="85"/>
  <c r="D34" i="85"/>
  <c r="W33" i="85"/>
  <c r="U33" i="85"/>
  <c r="R33" i="85"/>
  <c r="Q33" i="85"/>
  <c r="P33" i="85"/>
  <c r="V33" i="85" s="1"/>
  <c r="J33" i="85"/>
  <c r="O33" i="85" s="1"/>
  <c r="H33" i="85"/>
  <c r="D33" i="85"/>
  <c r="H30" i="85"/>
  <c r="R27" i="85"/>
  <c r="Q27" i="85"/>
  <c r="W27" i="85" s="1"/>
  <c r="P27" i="85"/>
  <c r="V27" i="85" s="1"/>
  <c r="O27" i="85"/>
  <c r="U27" i="85" s="1"/>
  <c r="AA27" i="85" s="1"/>
  <c r="L27" i="85"/>
  <c r="N27" i="85" s="1"/>
  <c r="S27" i="85" s="1"/>
  <c r="Y27" i="85" s="1"/>
  <c r="J27" i="85"/>
  <c r="H27" i="85"/>
  <c r="F27" i="85"/>
  <c r="D27" i="85"/>
  <c r="V26" i="85"/>
  <c r="R26" i="85"/>
  <c r="P26" i="85"/>
  <c r="J26" i="85"/>
  <c r="F26" i="85"/>
  <c r="D26" i="85"/>
  <c r="H26" i="85" s="1"/>
  <c r="R25" i="85"/>
  <c r="Q25" i="85"/>
  <c r="W25" i="85" s="1"/>
  <c r="P25" i="85"/>
  <c r="V25" i="85" s="1"/>
  <c r="J25" i="85"/>
  <c r="N25" i="85" s="1"/>
  <c r="S25" i="85" s="1"/>
  <c r="Y25" i="85" s="1"/>
  <c r="D25" i="85"/>
  <c r="H25" i="85" s="1"/>
  <c r="V24" i="85"/>
  <c r="R24" i="85"/>
  <c r="Q24" i="85"/>
  <c r="W24" i="85" s="1"/>
  <c r="P24" i="85"/>
  <c r="J24" i="85"/>
  <c r="N24" i="85" s="1"/>
  <c r="S24" i="85" s="1"/>
  <c r="Y24" i="85" s="1"/>
  <c r="D24" i="85"/>
  <c r="H24" i="85" s="1"/>
  <c r="V23" i="85"/>
  <c r="R23" i="85"/>
  <c r="Q23" i="85"/>
  <c r="W23" i="85" s="1"/>
  <c r="P23" i="85"/>
  <c r="N23" i="85"/>
  <c r="J23" i="85"/>
  <c r="D23" i="85"/>
  <c r="O23" i="85" s="1"/>
  <c r="U23" i="85" s="1"/>
  <c r="R22" i="85"/>
  <c r="Q22" i="85"/>
  <c r="W22" i="85" s="1"/>
  <c r="P22" i="85"/>
  <c r="V22" i="85" s="1"/>
  <c r="J22" i="85"/>
  <c r="N22" i="85" s="1"/>
  <c r="S22" i="85" s="1"/>
  <c r="Y22" i="85" s="1"/>
  <c r="D22" i="85"/>
  <c r="H22" i="85" s="1"/>
  <c r="S21" i="85"/>
  <c r="Y21" i="85" s="1"/>
  <c r="R21" i="85"/>
  <c r="P21" i="85"/>
  <c r="V21" i="85" s="1"/>
  <c r="L21" i="85"/>
  <c r="Q21" i="85" s="1"/>
  <c r="W21" i="85" s="1"/>
  <c r="J21" i="85"/>
  <c r="O21" i="85" s="1"/>
  <c r="F21" i="85"/>
  <c r="W20" i="85"/>
  <c r="V20" i="85"/>
  <c r="R20" i="85"/>
  <c r="Q20" i="85"/>
  <c r="P20" i="85"/>
  <c r="J20" i="85"/>
  <c r="N20" i="85" s="1"/>
  <c r="D20" i="85"/>
  <c r="H20" i="85" s="1"/>
  <c r="V19" i="85"/>
  <c r="R19" i="85"/>
  <c r="Q19" i="85"/>
  <c r="W19" i="85" s="1"/>
  <c r="P19" i="85"/>
  <c r="N19" i="85"/>
  <c r="S19" i="85" s="1"/>
  <c r="Y19" i="85" s="1"/>
  <c r="J19" i="85"/>
  <c r="D19" i="85"/>
  <c r="H19" i="85" s="1"/>
  <c r="V18" i="85"/>
  <c r="R18" i="85"/>
  <c r="Q18" i="85"/>
  <c r="W18" i="85" s="1"/>
  <c r="P18" i="85"/>
  <c r="J18" i="85"/>
  <c r="N18" i="85" s="1"/>
  <c r="S18" i="85" s="1"/>
  <c r="Y18" i="85" s="1"/>
  <c r="D18" i="85"/>
  <c r="H18" i="85" s="1"/>
  <c r="W17" i="85"/>
  <c r="V17" i="85"/>
  <c r="R17" i="85"/>
  <c r="Q17" i="85"/>
  <c r="P17" i="85"/>
  <c r="J17" i="85"/>
  <c r="N17" i="85" s="1"/>
  <c r="D17" i="85"/>
  <c r="H17" i="85" s="1"/>
  <c r="V16" i="85"/>
  <c r="R16" i="85"/>
  <c r="Q16" i="85"/>
  <c r="W16" i="85" s="1"/>
  <c r="P16" i="85"/>
  <c r="N16" i="85"/>
  <c r="S16" i="85" s="1"/>
  <c r="Y16" i="85" s="1"/>
  <c r="J16" i="85"/>
  <c r="D16" i="85"/>
  <c r="H16" i="85" s="1"/>
  <c r="V15" i="85"/>
  <c r="R15" i="85"/>
  <c r="Q15" i="85"/>
  <c r="W15" i="85" s="1"/>
  <c r="P15" i="85"/>
  <c r="J15" i="85"/>
  <c r="N15" i="85" s="1"/>
  <c r="S15" i="85" s="1"/>
  <c r="Y15" i="85" s="1"/>
  <c r="D15" i="85"/>
  <c r="H15" i="85" s="1"/>
  <c r="W14" i="85"/>
  <c r="V14" i="85"/>
  <c r="R14" i="85"/>
  <c r="Q14" i="85"/>
  <c r="P14" i="85"/>
  <c r="J14" i="85"/>
  <c r="N14" i="85" s="1"/>
  <c r="S14" i="85" s="1"/>
  <c r="Y14" i="85" s="1"/>
  <c r="D14" i="85"/>
  <c r="H14" i="85" s="1"/>
  <c r="V13" i="85"/>
  <c r="R13" i="85"/>
  <c r="Q13" i="85"/>
  <c r="P13" i="85"/>
  <c r="N13" i="85"/>
  <c r="J13" i="85"/>
  <c r="D13" i="85"/>
  <c r="H13" i="85" s="1"/>
  <c r="H24" i="4" l="1"/>
  <c r="L24" i="4" s="1"/>
  <c r="L19" i="4"/>
  <c r="L18" i="4"/>
  <c r="L8" i="4"/>
  <c r="L17" i="4"/>
  <c r="L16" i="4"/>
  <c r="L15" i="4"/>
  <c r="L14" i="4"/>
  <c r="L13" i="4"/>
  <c r="L12" i="4"/>
  <c r="L23" i="4"/>
  <c r="L11" i="4"/>
  <c r="G96" i="58"/>
  <c r="S96" i="58" s="1"/>
  <c r="G12" i="58"/>
  <c r="S13" i="58"/>
  <c r="R47" i="76"/>
  <c r="U29" i="85"/>
  <c r="U30" i="85" s="1"/>
  <c r="AA45" i="85"/>
  <c r="Z45" i="85"/>
  <c r="AA23" i="85"/>
  <c r="Z23" i="85"/>
  <c r="AB48" i="85"/>
  <c r="AA48" i="85"/>
  <c r="Z48" i="85"/>
  <c r="S23" i="85"/>
  <c r="Y23" i="85" s="1"/>
  <c r="AB23" i="85" s="1"/>
  <c r="AA51" i="85"/>
  <c r="Z51" i="85"/>
  <c r="S20" i="85"/>
  <c r="Y20" i="85" s="1"/>
  <c r="AB21" i="85"/>
  <c r="Z21" i="85"/>
  <c r="AA21" i="85"/>
  <c r="Z41" i="85"/>
  <c r="AB41" i="85" s="1"/>
  <c r="AA41" i="85"/>
  <c r="AA47" i="85"/>
  <c r="S17" i="85"/>
  <c r="Y17" i="85" s="1"/>
  <c r="Z35" i="85"/>
  <c r="AB35" i="85" s="1"/>
  <c r="AA33" i="85"/>
  <c r="Z53" i="85"/>
  <c r="AB53" i="85" s="1"/>
  <c r="AA76" i="85"/>
  <c r="Z76" i="85"/>
  <c r="AB76" i="85" s="1"/>
  <c r="S13" i="85"/>
  <c r="O42" i="85"/>
  <c r="U42" i="85" s="1"/>
  <c r="O44" i="85"/>
  <c r="U44" i="85" s="1"/>
  <c r="AA52" i="85"/>
  <c r="Z52" i="85"/>
  <c r="AB52" i="85" s="1"/>
  <c r="Q62" i="85"/>
  <c r="W62" i="85" s="1"/>
  <c r="N74" i="85"/>
  <c r="O40" i="85"/>
  <c r="U40" i="85" s="1"/>
  <c r="N40" i="85"/>
  <c r="S40" i="85" s="1"/>
  <c r="Y40" i="85" s="1"/>
  <c r="O43" i="85"/>
  <c r="U43" i="85" s="1"/>
  <c r="O57" i="85"/>
  <c r="U57" i="85" s="1"/>
  <c r="AA58" i="85"/>
  <c r="Z58" i="85"/>
  <c r="AB58" i="85" s="1"/>
  <c r="O67" i="85"/>
  <c r="U67" i="85" s="1"/>
  <c r="N67" i="85"/>
  <c r="S67" i="85" s="1"/>
  <c r="Y67" i="85" s="1"/>
  <c r="AA71" i="85"/>
  <c r="Z71" i="85"/>
  <c r="AB82" i="85"/>
  <c r="Z87" i="85"/>
  <c r="AA87" i="85"/>
  <c r="O60" i="85"/>
  <c r="U60" i="85" s="1"/>
  <c r="N60" i="85"/>
  <c r="S60" i="85" s="1"/>
  <c r="Y60" i="85" s="1"/>
  <c r="O46" i="85"/>
  <c r="U46" i="85" s="1"/>
  <c r="O36" i="85"/>
  <c r="U36" i="85" s="1"/>
  <c r="U77" i="85" s="1"/>
  <c r="O39" i="85"/>
  <c r="U39" i="85" s="1"/>
  <c r="S56" i="85"/>
  <c r="Y56" i="85" s="1"/>
  <c r="AB56" i="85" s="1"/>
  <c r="Z61" i="85"/>
  <c r="H70" i="85"/>
  <c r="S70" i="85" s="1"/>
  <c r="Y70" i="85" s="1"/>
  <c r="H57" i="85"/>
  <c r="AA49" i="85"/>
  <c r="Z49" i="85"/>
  <c r="AB49" i="85" s="1"/>
  <c r="H23" i="85"/>
  <c r="N33" i="85"/>
  <c r="S33" i="85" s="1"/>
  <c r="Y33" i="85" s="1"/>
  <c r="AB33" i="85" s="1"/>
  <c r="N36" i="85"/>
  <c r="S36" i="85" s="1"/>
  <c r="Y36" i="85" s="1"/>
  <c r="O38" i="85"/>
  <c r="U38" i="85" s="1"/>
  <c r="H51" i="85"/>
  <c r="S54" i="85"/>
  <c r="Y54" i="85" s="1"/>
  <c r="AB54" i="85" s="1"/>
  <c r="AA56" i="85"/>
  <c r="S64" i="85"/>
  <c r="Y64" i="85" s="1"/>
  <c r="O70" i="85"/>
  <c r="U70" i="85" s="1"/>
  <c r="O73" i="85"/>
  <c r="U73" i="85" s="1"/>
  <c r="F73" i="85"/>
  <c r="H73" i="85" s="1"/>
  <c r="S80" i="85"/>
  <c r="O26" i="85"/>
  <c r="U26" i="85" s="1"/>
  <c r="AA64" i="85"/>
  <c r="AB64" i="85" s="1"/>
  <c r="Z64" i="85"/>
  <c r="Q73" i="85"/>
  <c r="W73" i="85" s="1"/>
  <c r="N73" i="85"/>
  <c r="U80" i="85"/>
  <c r="O22" i="85"/>
  <c r="U22" i="85" s="1"/>
  <c r="O24" i="85"/>
  <c r="U24" i="85" s="1"/>
  <c r="O25" i="85"/>
  <c r="U25" i="85" s="1"/>
  <c r="L26" i="85"/>
  <c r="Q26" i="85" s="1"/>
  <c r="W26" i="85" s="1"/>
  <c r="AA35" i="85"/>
  <c r="H48" i="85"/>
  <c r="S51" i="85"/>
  <c r="Y51" i="85" s="1"/>
  <c r="AB51" i="85" s="1"/>
  <c r="AA53" i="85"/>
  <c r="O59" i="85"/>
  <c r="U59" i="85" s="1"/>
  <c r="Q75" i="85"/>
  <c r="W75" i="85" s="1"/>
  <c r="H75" i="85"/>
  <c r="S75" i="85" s="1"/>
  <c r="Y75" i="85" s="1"/>
  <c r="O15" i="85"/>
  <c r="U15" i="85" s="1"/>
  <c r="O19" i="85"/>
  <c r="U19" i="85" s="1"/>
  <c r="AB37" i="85"/>
  <c r="L47" i="85"/>
  <c r="Q47" i="85" s="1"/>
  <c r="W47" i="85" s="1"/>
  <c r="S48" i="85"/>
  <c r="Y48" i="85" s="1"/>
  <c r="AA50" i="85"/>
  <c r="AB50" i="85" s="1"/>
  <c r="AA54" i="85"/>
  <c r="Z66" i="85"/>
  <c r="AA86" i="85"/>
  <c r="U90" i="85"/>
  <c r="Z86" i="85"/>
  <c r="O14" i="85"/>
  <c r="U14" i="85" s="1"/>
  <c r="O17" i="85"/>
  <c r="U17" i="85" s="1"/>
  <c r="N47" i="85"/>
  <c r="S47" i="85" s="1"/>
  <c r="Y47" i="85" s="1"/>
  <c r="S69" i="85"/>
  <c r="Y69" i="85" s="1"/>
  <c r="AB72" i="85"/>
  <c r="Z72" i="85"/>
  <c r="O13" i="85"/>
  <c r="O16" i="85"/>
  <c r="U16" i="85" s="1"/>
  <c r="O18" i="85"/>
  <c r="U18" i="85" s="1"/>
  <c r="O20" i="85"/>
  <c r="U20" i="85" s="1"/>
  <c r="AB27" i="85"/>
  <c r="Z27" i="85"/>
  <c r="N45" i="85"/>
  <c r="S45" i="85" s="1"/>
  <c r="Y45" i="85" s="1"/>
  <c r="AB45" i="85" s="1"/>
  <c r="AB63" i="85"/>
  <c r="AA63" i="85"/>
  <c r="Z63" i="85"/>
  <c r="W13" i="85"/>
  <c r="Z33" i="85"/>
  <c r="AA34" i="85"/>
  <c r="Z34" i="85"/>
  <c r="AB34" i="85" s="1"/>
  <c r="AA55" i="85"/>
  <c r="Z55" i="85"/>
  <c r="AB55" i="85" s="1"/>
  <c r="H62" i="85"/>
  <c r="H65" i="85"/>
  <c r="Q66" i="85"/>
  <c r="W66" i="85" s="1"/>
  <c r="AA66" i="85" s="1"/>
  <c r="AA69" i="85"/>
  <c r="AB69" i="85" s="1"/>
  <c r="Z69" i="85"/>
  <c r="H74" i="85"/>
  <c r="AA88" i="85"/>
  <c r="Z88" i="85"/>
  <c r="AB88" i="85" s="1"/>
  <c r="N62" i="85"/>
  <c r="N81" i="85"/>
  <c r="N87" i="85"/>
  <c r="S87" i="85" s="1"/>
  <c r="Y87" i="85" s="1"/>
  <c r="Y90" i="85" s="1"/>
  <c r="L65" i="85"/>
  <c r="O81" i="85"/>
  <c r="U81" i="85" s="1"/>
  <c r="L57" i="85"/>
  <c r="Q57" i="85" s="1"/>
  <c r="W57" i="85" s="1"/>
  <c r="F61" i="85"/>
  <c r="Q61" i="85" s="1"/>
  <c r="W61" i="85" s="1"/>
  <c r="AA61" i="85" s="1"/>
  <c r="Z68" i="85"/>
  <c r="AB68" i="85" s="1"/>
  <c r="Z82" i="85"/>
  <c r="AA68" i="85"/>
  <c r="AA82" i="85"/>
  <c r="Z89" i="85"/>
  <c r="AB89" i="85" s="1"/>
  <c r="AA89" i="85"/>
  <c r="D83" i="85"/>
  <c r="N71" i="85"/>
  <c r="S71" i="85" s="1"/>
  <c r="Y71" i="85" s="1"/>
  <c r="AB71" i="85" s="1"/>
  <c r="F74" i="85"/>
  <c r="Q74" i="85" s="1"/>
  <c r="W74" i="85" s="1"/>
  <c r="T13" i="58" l="1"/>
  <c r="S12" i="58"/>
  <c r="AB66" i="85"/>
  <c r="AA74" i="85"/>
  <c r="AB74" i="85"/>
  <c r="Z74" i="85"/>
  <c r="AB80" i="85"/>
  <c r="AA80" i="85"/>
  <c r="Z80" i="85"/>
  <c r="U83" i="85"/>
  <c r="AA81" i="85"/>
  <c r="Z81" i="85"/>
  <c r="AB81" i="85"/>
  <c r="AA62" i="85"/>
  <c r="O83" i="85"/>
  <c r="AB87" i="85"/>
  <c r="Z62" i="85"/>
  <c r="Q65" i="85"/>
  <c r="W65" i="85" s="1"/>
  <c r="N65" i="85"/>
  <c r="S65" i="85" s="1"/>
  <c r="Y65" i="85" s="1"/>
  <c r="Z59" i="85"/>
  <c r="AB59" i="85" s="1"/>
  <c r="AA59" i="85"/>
  <c r="S73" i="85"/>
  <c r="Y73" i="85" s="1"/>
  <c r="AA73" i="85"/>
  <c r="AB73" i="85" s="1"/>
  <c r="Z73" i="85"/>
  <c r="AB44" i="85"/>
  <c r="Z44" i="85"/>
  <c r="AA44" i="85"/>
  <c r="Z42" i="85"/>
  <c r="AB42" i="85" s="1"/>
  <c r="AA42" i="85"/>
  <c r="AA17" i="85"/>
  <c r="Z17" i="85"/>
  <c r="AB17" i="85" s="1"/>
  <c r="AB43" i="85"/>
  <c r="AA43" i="85"/>
  <c r="Z43" i="85"/>
  <c r="AA57" i="85"/>
  <c r="Z57" i="85"/>
  <c r="AB57" i="85" s="1"/>
  <c r="S81" i="85"/>
  <c r="Y81" i="85" s="1"/>
  <c r="N83" i="85"/>
  <c r="N57" i="85"/>
  <c r="S57" i="85" s="1"/>
  <c r="Y57" i="85" s="1"/>
  <c r="S62" i="85"/>
  <c r="Y62" i="85" s="1"/>
  <c r="AB62" i="85" s="1"/>
  <c r="Z14" i="85"/>
  <c r="AB14" i="85" s="1"/>
  <c r="AA14" i="85"/>
  <c r="Y13" i="85"/>
  <c r="Z90" i="85"/>
  <c r="AA40" i="85"/>
  <c r="Z40" i="85"/>
  <c r="AB40" i="85" s="1"/>
  <c r="AA20" i="85"/>
  <c r="Z20" i="85"/>
  <c r="AB20" i="85" s="1"/>
  <c r="Z19" i="85"/>
  <c r="AB19" i="85" s="1"/>
  <c r="AA19" i="85"/>
  <c r="Z39" i="85"/>
  <c r="AA39" i="85"/>
  <c r="AB39" i="85" s="1"/>
  <c r="Z47" i="85"/>
  <c r="AB47" i="85" s="1"/>
  <c r="U13" i="85"/>
  <c r="Z18" i="85"/>
  <c r="AB18" i="85" s="1"/>
  <c r="AA18" i="85"/>
  <c r="AA90" i="85"/>
  <c r="AB15" i="85"/>
  <c r="Z15" i="85"/>
  <c r="AA15" i="85"/>
  <c r="N26" i="85"/>
  <c r="Z38" i="85"/>
  <c r="AA38" i="85"/>
  <c r="AB38" i="85" s="1"/>
  <c r="Z36" i="85"/>
  <c r="AB36" i="85" s="1"/>
  <c r="AA36" i="85"/>
  <c r="AA70" i="85"/>
  <c r="Z70" i="85"/>
  <c r="AB70" i="85" s="1"/>
  <c r="Z16" i="85"/>
  <c r="AA16" i="85"/>
  <c r="AB16" i="85" s="1"/>
  <c r="AB86" i="85"/>
  <c r="AB25" i="85"/>
  <c r="Z25" i="85"/>
  <c r="AA25" i="85"/>
  <c r="AA26" i="85"/>
  <c r="Z26" i="85"/>
  <c r="AB46" i="85"/>
  <c r="AA46" i="85"/>
  <c r="Z46" i="85"/>
  <c r="S74" i="85"/>
  <c r="Y74" i="85" s="1"/>
  <c r="Z24" i="85"/>
  <c r="AA24" i="85"/>
  <c r="AB24" i="85" s="1"/>
  <c r="Q30" i="85"/>
  <c r="Z75" i="85"/>
  <c r="AB75" i="85" s="1"/>
  <c r="AA75" i="85"/>
  <c r="Z22" i="85"/>
  <c r="AB22" i="85" s="1"/>
  <c r="AA22" i="85"/>
  <c r="S83" i="85"/>
  <c r="Y80" i="85"/>
  <c r="Y83" i="85" s="1"/>
  <c r="Z60" i="85"/>
  <c r="AA60" i="85"/>
  <c r="AB60" i="85" s="1"/>
  <c r="Z67" i="85"/>
  <c r="AA67" i="85"/>
  <c r="AB67" i="85" s="1"/>
  <c r="H61" i="85"/>
  <c r="S61" i="85" s="1"/>
  <c r="Y61" i="85" s="1"/>
  <c r="Y77" i="85" s="1"/>
  <c r="T12" i="58" l="1"/>
  <c r="V13" i="58"/>
  <c r="V12" i="58" s="1"/>
  <c r="T96" i="58"/>
  <c r="V96" i="58" s="1"/>
  <c r="Z13" i="85"/>
  <c r="AA13" i="85"/>
  <c r="Z83" i="85"/>
  <c r="AA83" i="85"/>
  <c r="S26" i="85"/>
  <c r="AA65" i="85"/>
  <c r="AA77" i="85" s="1"/>
  <c r="Z65" i="85"/>
  <c r="Z77" i="85"/>
  <c r="AB61" i="85"/>
  <c r="W77" i="85"/>
  <c r="AB13" i="85" l="1"/>
  <c r="Y26" i="85"/>
  <c r="S30" i="85"/>
  <c r="AB65" i="85"/>
  <c r="AB26" i="85" l="1"/>
  <c r="W79" i="85"/>
  <c r="AL18" i="82" l="1"/>
  <c r="AK13" i="82"/>
  <c r="AJ13" i="82"/>
  <c r="AI13" i="82"/>
  <c r="AH13" i="82"/>
  <c r="AG7" i="82" s="1"/>
  <c r="AE7" i="82" s="1"/>
  <c r="AG13" i="82"/>
  <c r="AF13" i="82"/>
  <c r="AE13" i="82"/>
  <c r="AD13" i="82"/>
  <c r="AC13" i="82"/>
  <c r="AB13" i="82"/>
  <c r="AA13" i="82"/>
  <c r="Z13" i="82"/>
  <c r="Y13" i="82"/>
  <c r="X13" i="82"/>
  <c r="W13" i="82"/>
  <c r="V13" i="82"/>
  <c r="U13" i="82"/>
  <c r="T13" i="82"/>
  <c r="S13" i="82"/>
  <c r="R13" i="82"/>
  <c r="Q13" i="82"/>
  <c r="P13" i="82"/>
  <c r="O13" i="82"/>
  <c r="N13" i="82"/>
  <c r="M13" i="82"/>
  <c r="L13" i="82"/>
  <c r="K13" i="82"/>
  <c r="J13" i="82"/>
  <c r="I13" i="82"/>
  <c r="H13" i="82"/>
  <c r="G13" i="82"/>
  <c r="F13" i="82"/>
  <c r="E13" i="82"/>
  <c r="D13" i="82"/>
  <c r="C13" i="82"/>
  <c r="X11" i="81"/>
  <c r="W11" i="81"/>
  <c r="V11" i="81"/>
  <c r="U11" i="81"/>
  <c r="T11" i="81"/>
  <c r="S11" i="81"/>
  <c r="R11" i="81"/>
  <c r="Q11" i="81"/>
  <c r="P11" i="81"/>
  <c r="O11" i="81"/>
  <c r="N11" i="81"/>
  <c r="M11" i="81"/>
  <c r="L11" i="81"/>
  <c r="K11" i="81"/>
  <c r="J11" i="81"/>
  <c r="I11" i="81"/>
  <c r="H11" i="81"/>
  <c r="G11" i="81"/>
  <c r="F11" i="81"/>
  <c r="E11" i="81"/>
  <c r="D11" i="81"/>
  <c r="C11" i="81"/>
  <c r="AL13" i="82" l="1"/>
  <c r="AL11" i="82" s="1"/>
  <c r="E12" i="58" l="1"/>
  <c r="F12" i="58"/>
  <c r="G47" i="76"/>
  <c r="E47" i="76" s="1"/>
  <c r="S47" i="76" s="1"/>
  <c r="T47" i="76" s="1"/>
  <c r="V47" i="76" s="1"/>
</calcChain>
</file>

<file path=xl/sharedStrings.xml><?xml version="1.0" encoding="utf-8"?>
<sst xmlns="http://schemas.openxmlformats.org/spreadsheetml/2006/main" count="1101" uniqueCount="498">
  <si>
    <t>Số ngày thường</t>
  </si>
  <si>
    <t>Số ngày thứ bẩy, chủ nhật</t>
  </si>
  <si>
    <t>Số ngày lễ</t>
  </si>
  <si>
    <t>- Trực ngày thường số tiền: 18.750đ</t>
  </si>
  <si>
    <t>- Trực ngày thứ bẩy, chủ nhật số tiền: 47.500đ</t>
  </si>
  <si>
    <t>- Trực ngày lễ, tết số tiền: 60,000đ</t>
  </si>
  <si>
    <t xml:space="preserve">TỔNG HỢP CHẾ ĐỘ ĐI HỌC ĐỐI VỚI CÁN BỘ, VIÊN CHỨC Y TẾ VÙNG THUỘC 61 HUYỆN NGHÈO </t>
  </si>
  <si>
    <t>Học phí</t>
  </si>
  <si>
    <t>Tiền ăn, ở, đi lại</t>
  </si>
  <si>
    <t>Tiền tài liệu</t>
  </si>
  <si>
    <t xml:space="preserve">Tổng cộng </t>
  </si>
  <si>
    <t>Ghi chú:</t>
  </si>
  <si>
    <t>STT</t>
  </si>
  <si>
    <t>Tổng cộng</t>
  </si>
  <si>
    <t>Các khoản đóng góp BHXH, BHYT, KPCĐ</t>
  </si>
  <si>
    <t>Phụ cấp chức vụ</t>
  </si>
  <si>
    <t>A</t>
  </si>
  <si>
    <t>B</t>
  </si>
  <si>
    <t>ĐVT: Nghìn đồng</t>
  </si>
  <si>
    <t>TT</t>
  </si>
  <si>
    <t>Ghi chú: Phụ cấp theo NĐ 64/2009 và TT 06/2010; Phụ cấp ưu đãi nghề NĐ56/2011; Phụ cấp thu hút NĐ 116/2010; Phụ cấp công vụ:NĐ 57/2011; Phụ cấp thâm niên NĐ54/2011; bảo hiểm thất nghiệp. Các đơn vị xây dựng biểu riêng.</t>
  </si>
  <si>
    <t>Lập biểu</t>
  </si>
  <si>
    <t>Định mức/trạm y tế</t>
  </si>
  <si>
    <t>Tổng số kinh phí</t>
  </si>
  <si>
    <t xml:space="preserve">Thành tiền số ngày thường </t>
  </si>
  <si>
    <t xml:space="preserve">Thành tiền số ngày thứ bẩy, chủ nhật </t>
  </si>
  <si>
    <t xml:space="preserve">Thành tiền số ngày lễ </t>
  </si>
  <si>
    <t>3=1+2</t>
  </si>
  <si>
    <t>Tổng cộng các khoản phụ cấp</t>
  </si>
  <si>
    <t>Phụ cấp thâm niên vượt khung</t>
  </si>
  <si>
    <t xml:space="preserve"> BHTN (1%)</t>
  </si>
  <si>
    <t>Bao gồm</t>
  </si>
  <si>
    <t>16=(4+6+7)*22,5%</t>
  </si>
  <si>
    <t xml:space="preserve">Biểu số: </t>
  </si>
  <si>
    <t xml:space="preserve"> BHXH (17,5%), BHYT (3%), KPCĐ (2%) </t>
  </si>
  <si>
    <t>Tổng cộng các khoản đóng góp</t>
  </si>
  <si>
    <t>THEO QUY ĐỊNH TẠI NGHỊ ĐỊNH SỐ 76/2019/NĐ-CP NGÀY 08/10/2019 CỦA CHÍNH PHỦ</t>
  </si>
  <si>
    <t>THEO NGHỊ ĐỊNH SỐ 76/2019/NĐ-CP NGÀY 08/10/2019 CỦA CHÍNH PHỦ</t>
  </si>
  <si>
    <t>Tên đơn vị:</t>
  </si>
  <si>
    <t xml:space="preserve">Tên đơn vị: </t>
  </si>
  <si>
    <t>Đơn vị tính: Nghìn đồng</t>
  </si>
  <si>
    <t>Biểu số:</t>
  </si>
  <si>
    <t>Tổng Cộng</t>
  </si>
  <si>
    <t>Số người</t>
  </si>
  <si>
    <t>SỞ Y TẾ  BẮC GIANG</t>
  </si>
  <si>
    <t>Đơn vị: Nghìn đồng</t>
  </si>
  <si>
    <t>Trong đó</t>
  </si>
  <si>
    <t xml:space="preserve"> BHXH, BHTN, BHYT, KPCĐ 22,5%</t>
  </si>
  <si>
    <t xml:space="preserve">BHTN 1% </t>
  </si>
  <si>
    <t>SỞ Y TẾ BẮC GIANG</t>
  </si>
  <si>
    <t>Họ và tên</t>
  </si>
  <si>
    <t>Số tháng được hưởng</t>
  </si>
  <si>
    <t>Lương cơ bản</t>
  </si>
  <si>
    <t>Thâm niên nghề. Phụ cấp nghề</t>
  </si>
  <si>
    <t>Ưu đãi NĐ 56</t>
  </si>
  <si>
    <t xml:space="preserve">Các khoản đóng góp </t>
  </si>
  <si>
    <t>Chức vụ</t>
  </si>
  <si>
    <t>Thâm niên vượt khung</t>
  </si>
  <si>
    <t>Thâm niên nghề</t>
  </si>
  <si>
    <t>BHXH, BHYT, KPCĐ 22,5%</t>
  </si>
  <si>
    <t>BHTN 1%</t>
  </si>
  <si>
    <t>15=9-3</t>
  </si>
  <si>
    <t>16=10-4</t>
  </si>
  <si>
    <t>17=11-5</t>
  </si>
  <si>
    <t>18=12-6</t>
  </si>
  <si>
    <t>19=13-7</t>
  </si>
  <si>
    <t>28=(21+22+23+24)*22,5%</t>
  </si>
  <si>
    <t>29=(21+22+23+24)*1%</t>
  </si>
  <si>
    <t>30=22đến 29</t>
  </si>
  <si>
    <t xml:space="preserve">THEO NGHỊ ĐỊNH SỐ 76/2019/NĐ  NGÀY 08/10/2019 </t>
  </si>
  <si>
    <t>Tổng hệ số lương và các khoản phụ cấp</t>
  </si>
  <si>
    <t>Tổng cộng hệ số</t>
  </si>
  <si>
    <t>Hệ số lương cơ bản</t>
  </si>
  <si>
    <t>Tổng cộng hệ số các khoản PC</t>
  </si>
  <si>
    <t>Kinh phí 1 tháng</t>
  </si>
  <si>
    <t>Hệ số PC chức vụ</t>
  </si>
  <si>
    <t>Hệ số PC thâm niên vượt khung</t>
  </si>
  <si>
    <t>C</t>
  </si>
  <si>
    <t>1=2+3</t>
  </si>
  <si>
    <t>3=4+5</t>
  </si>
  <si>
    <t>,</t>
  </si>
  <si>
    <t>(PK KV Lục Ngạn có 12 người hưởng 70%)</t>
  </si>
  <si>
    <t>Yên Thế có 05 TYT xã hưởng 140% (Canh Nâu, Đồng Tiến, Tiến Thắng, Đồng Hưu)</t>
  </si>
  <si>
    <t>Lục Nam có 05 TYT xã hưởng 70% ( Vô Tranh, Lục Sơn, Bình Sơn, Trường Sơn, Trường Giang)</t>
  </si>
  <si>
    <t>THEO NGHỊ ĐỊNH SỐ 76/2019/NĐ-CP NGÀY 08/10/2019</t>
  </si>
  <si>
    <t>Đơn vị tính : Nghìn đồng</t>
  </si>
  <si>
    <t>Phụ cấp công tác lâu năm</t>
  </si>
  <si>
    <t>Phụ cấp thu hút</t>
  </si>
  <si>
    <t>Hệ số phụ cấp công tác</t>
  </si>
  <si>
    <t>Hệ số lương theo ngạch, bậc hiện hưởng và phụ cấp chức vụ, pc thâm niên vượt khung</t>
  </si>
  <si>
    <t>Mức 70% phụ cấp thu hút được hưởng</t>
  </si>
  <si>
    <t>Đủ 5 năm đến dưới 10 năm</t>
  </si>
  <si>
    <t>Đủ 10 năm đến dưới 15 năm</t>
  </si>
  <si>
    <t>Từ 15 năm trở lên</t>
  </si>
  <si>
    <t xml:space="preserve">Phụ biểu số: </t>
  </si>
  <si>
    <t>Tên Trạm y tế</t>
  </si>
  <si>
    <t>THEO NGHỊ ĐỊNH SỐ 76/2019/NĐ-CP</t>
  </si>
  <si>
    <t>Nội dung</t>
  </si>
  <si>
    <t>I</t>
  </si>
  <si>
    <t>Đơn vị: Triệu đồng</t>
  </si>
  <si>
    <t>5=6 đến 12</t>
  </si>
  <si>
    <t>13=(4+6+7+8)*22,5%</t>
  </si>
  <si>
    <t>14=(4+6+7+8)*1%</t>
  </si>
  <si>
    <t>15=13+14</t>
  </si>
  <si>
    <t>13=(4+6+7)*22,5%</t>
  </si>
  <si>
    <t>14=(4+6+7)*1%</t>
  </si>
  <si>
    <t>Tổng số</t>
  </si>
  <si>
    <t>Số đối tượng được hưởng</t>
  </si>
  <si>
    <t>Số TT</t>
  </si>
  <si>
    <t>Chỉ tiêu</t>
  </si>
  <si>
    <t xml:space="preserve">Hệ số lương theo ngạch, bậc hiện hưởng và phụ cấp chức vụ lãnh đạo, phụ cấp thâm niên vượt khung </t>
  </si>
  <si>
    <t>Thời gian thực tế làm việc ở vùng có điều kiện kinh tế - xã hội đặc biệt khó khăn (năm)</t>
  </si>
  <si>
    <t xml:space="preserve">Nhu cầu trợ cấp một lần khi chuyển công tác chuyển vùng, ra khỏi vùng có điều kiện kinh tế - xã hội đặc biệt khó khăn </t>
  </si>
  <si>
    <t>Hệ số lương, ngạch bậc</t>
  </si>
  <si>
    <t>Hệ số chức vụ, TNVK</t>
  </si>
  <si>
    <t>11=5+10</t>
  </si>
  <si>
    <t>1=(3*4)*12T</t>
  </si>
  <si>
    <t>3=2*70%</t>
  </si>
  <si>
    <t>1=2*(3+4+5)*12T</t>
  </si>
  <si>
    <t xml:space="preserve">BÁO CÁO NHU CẦU KINH PHÍ THỰC HIỆN TRỢ CẤP ĐỐI VỚI CÁN BỘ, CÔNG CHỨC, VIÊN CHỨC CÔNG TÁC Ở VÙNG CÓ ĐIỀU KIỆN KINH TẾ - XÃ HỘI ĐẶC BIỆT KHÓ KHĂN THEO NGHỊ ĐỊNH 76/2019/NĐ-CP </t>
  </si>
  <si>
    <t xml:space="preserve">DANH SÁCH HƯỞNG CHẾ ĐỘ PHỤ CẤP, TRỢ CẤP LẦN ĐẦU ĐỐI VỚI CÁN BỘ, CÔNG CHỨC, VIÊN CHỨC </t>
  </si>
  <si>
    <t xml:space="preserve">Nhu cầu trợ cấp một lần khi chuyển công tác ra khỏi vùng có điều kiện kinh tế - xã hội đặc biệt khó khăn hoặc nghỉ hưu </t>
  </si>
  <si>
    <t>Biểu số 15.1</t>
  </si>
  <si>
    <t>Chương: 423</t>
  </si>
  <si>
    <t>Dự toán năm 2024</t>
  </si>
  <si>
    <t>Tổng số biên chế được cấp có thẩm quyền giao (người)</t>
  </si>
  <si>
    <t>Tổng số biên chế có mặt 31/12 (người)</t>
  </si>
  <si>
    <t>Qũy lương, PC và các khoản đóng góp theo lương theo biên chế có mặt 31/12</t>
  </si>
  <si>
    <t>Lương theo ngạch bậc</t>
  </si>
  <si>
    <t>Phụ cấp theo lương</t>
  </si>
  <si>
    <t>các khoản đóng góp theo lương</t>
  </si>
  <si>
    <t>3 =4+5+6</t>
  </si>
  <si>
    <t>8=9+10+11</t>
  </si>
  <si>
    <t>14=15+16+17</t>
  </si>
  <si>
    <t>19=20+21+22</t>
  </si>
  <si>
    <t>Biểu số 15.2</t>
  </si>
  <si>
    <t xml:space="preserve">BÁO CÁO LAO ĐỘNG - TIỀN LƯƠNG NGUỒN KINH PHÍ ĐẢM BẢO </t>
  </si>
  <si>
    <t>Tổng số người làm việc được cấp có thẩm quyền giao (người)</t>
  </si>
  <si>
    <t>Tổng qũy lương, PC và các khoản đóng góp theo lương</t>
  </si>
  <si>
    <t>Nguồn kinh phí bảo đảm</t>
  </si>
  <si>
    <t>Tổng số người làm việc được cấp có thẩm quyền giao có mặt tại thời điểm 31/12 (người)</t>
  </si>
  <si>
    <t>Trong đó: Tổng số viên chức, công chức (người)</t>
  </si>
  <si>
    <t>Tổng qũy lương, PC và các khoản đóng góp theo lương theo số người làm việc có mặt tại thời điểm 31/12</t>
  </si>
  <si>
    <t>Qũy lương, PC và các khoản đóng góp theo lương của biên chế được giao</t>
  </si>
  <si>
    <t>Qũy lương, PC và các khoản đóng góp theo lương của hợp đồng lao động</t>
  </si>
  <si>
    <t>Nguồn NSNN</t>
  </si>
  <si>
    <t>Nguồn thu sự nghiệp, dịch vụ</t>
  </si>
  <si>
    <t>Nguồn phí được để lại</t>
  </si>
  <si>
    <t>Nguồn thu hợp pháp khác</t>
  </si>
  <si>
    <t>Qũy lương, PC và các khoản đóng góp theo lương của số biên chế thực có mặt thời điểm 31/12</t>
  </si>
  <si>
    <t>Qũy lương, PC và các khoản đóng góp theo lương của hợp đồng lao động có mặt tại thời điểm 31/12</t>
  </si>
  <si>
    <t>Lương theo ngạch, bậc</t>
  </si>
  <si>
    <t>2=3+7</t>
  </si>
  <si>
    <t>15=16+20</t>
  </si>
  <si>
    <t>16=17+18+19</t>
  </si>
  <si>
    <t>26=27+31</t>
  </si>
  <si>
    <t>27=28+29+30</t>
  </si>
  <si>
    <t>Theo mức lương cơ sở 2.340.000đ</t>
  </si>
  <si>
    <t>Biên chế được cấp có thẩm quyền giao năm 2024</t>
  </si>
  <si>
    <t>Quỹ tiền thưởng theo NĐ số 73/2024/NĐ-CP năm 2024</t>
  </si>
  <si>
    <t xml:space="preserve"> (Kèm theo Công văn số        /SYT-KHTC ngày       tháng     năm 2024 của Sở Y tế) </t>
  </si>
  <si>
    <t>3=4+5+15+16</t>
  </si>
  <si>
    <t>Theo mức lương cơ sở 2.340.000 đ</t>
  </si>
  <si>
    <t>Tổng lương, phụ cấp và các khoản đóng góp năm 2025</t>
  </si>
  <si>
    <t>Nhu cầu kinh phí tăng năm 2025</t>
  </si>
  <si>
    <t>DANH SÁCH NHU CẦU KINH PHÍ
 BIÊN CHẾ TĂNG MỚI NĂM 2025 THEO CHỈ TIÊU KẾ HOẠCH ĐƯỢC TUYỂN CÒN THIẾU</t>
  </si>
  <si>
    <t>Theo mức lương cơ sở  2.340.000 đ</t>
  </si>
  <si>
    <t>Biên chế Còn được tuyển 2025</t>
  </si>
  <si>
    <t>DANH SÁCH NHU CẦU KINH PHÍ PHỤ CẤP TRỰC NĂM 2025</t>
  </si>
  <si>
    <t>Tổng tiền trực năm 2025</t>
  </si>
  <si>
    <t>Tổng nhu cầu kinh phí theo mức lương 2.340.000 đồng</t>
  </si>
  <si>
    <t>Nhu cầu kinh phí năm 2025</t>
  </si>
  <si>
    <t>Tổng nhu cầu kinh phí năm 2025</t>
  </si>
  <si>
    <t>Mức lương cơ sở 2.340.000 đồng</t>
  </si>
  <si>
    <t>Nhu cầu trợ cấp theo mức lương 2,34 trđ đối với đối tượng nghỉ hưu</t>
  </si>
  <si>
    <t>Nhu cầu trợ cấp theo mức lương 2,34 trđ đối với đối tượng chuyển vùng, ra khỏi vùng</t>
  </si>
  <si>
    <t>5=2*3*2.340 *1/2 (1/2 tháng lương)</t>
  </si>
  <si>
    <t>10=6*9*2.340 *1/2 (1/2 tháng lương)</t>
  </si>
  <si>
    <t>Tổng nhu cầu cả năm 2025</t>
  </si>
  <si>
    <t>Mức lương cơ bản (2.340)</t>
  </si>
  <si>
    <t>NĂM 2025</t>
  </si>
  <si>
    <t>DANH SÁCH HƯỞNG CHẾ ĐỘ PHỤ CẤP, TRỢ CẤP ĐỐI VỚI CÁN BỘ, CÔNG CHỨC, VIÊN CHỨC NĂM 2025</t>
  </si>
  <si>
    <t>BÁO CÁO BIÊN CHẾ - TIỀN LƯƠNG CỦA CÁC ĐƠN VỊ QUẢN LÝ NHÀ NƯỚC NĂM 2023, 2024, 2025</t>
  </si>
  <si>
    <t>Dự toán năm 2025</t>
  </si>
  <si>
    <t>Ước thực hiện năm 2024</t>
  </si>
  <si>
    <t>Thực hiện năm 2023</t>
  </si>
  <si>
    <t>CỦA CÁC ĐƠN VỊ SỰ NGHIỆP NĂM 2024, 2025</t>
  </si>
  <si>
    <t>DANH SÁCH NHU CẦU KINH PHÍ NÂNG BẬC LƯƠNG THƯỜNG XUYÊN CHO CÔNG CHỨC, VIÊN CHỨC  NĂM 2025</t>
  </si>
  <si>
    <t>TỔNG HỢP DỰ TOÁN CHI NGÂN SÁCH KHỐI XÃ NĂM 2025</t>
  </si>
  <si>
    <t>TỔNG HỢP QUỸ TIỀN LƯƠNG, PHỤ CẤP VÀ CÁC KHOẢN ĐÓNG GÓP NĂM 2025</t>
  </si>
  <si>
    <t>Biên chế có mặt đến 01/9/2024</t>
  </si>
  <si>
    <t>Tổng số đối tượng hưởng PC có mặt đến 01/9/2024</t>
  </si>
  <si>
    <t>Tổng số đối tượng được hưởng PC có mặt đến 01/9/2024</t>
  </si>
  <si>
    <t>Hệ số lương theo ngạch, bậc</t>
  </si>
  <si>
    <t>Hệ số phụ cấp chức vụ</t>
  </si>
  <si>
    <t>Hệ số phụ cấp thâm niên vượt khung</t>
  </si>
  <si>
    <t>Hệ số phụ cấp thâm niên ngành</t>
  </si>
  <si>
    <t>Hệ số phụ cấp độc hại</t>
  </si>
  <si>
    <t>Hệ số phụ cấp công vụ</t>
  </si>
  <si>
    <t>Hệ số phụ cấp công tác đảng</t>
  </si>
  <si>
    <t>Hệ số phụ cấp trách nhiệm + PC khác</t>
  </si>
  <si>
    <t>Hệ số các khoản đóng góp</t>
  </si>
  <si>
    <t>Tổng cộng hệ số các khoản đóng góp</t>
  </si>
  <si>
    <t>Hệ số lương, PC và các khoản đóng góp năm 2025 (tính 12 tháng)</t>
  </si>
  <si>
    <t>3=4+5+15</t>
  </si>
  <si>
    <t xml:space="preserve">Tổng lương, phụ cấp và các khoản đóng góp </t>
  </si>
  <si>
    <t>Lương, phụ cấp và các khoản đóng góp 01 tháng</t>
  </si>
  <si>
    <t>Tống nhu cầu kinh phia năm 2025</t>
  </si>
  <si>
    <t>17=16*12 tháng</t>
  </si>
  <si>
    <t>19 =17+18</t>
  </si>
  <si>
    <t>Lương, phụ cấp và các khoản đóng góp năm 2025</t>
  </si>
  <si>
    <t xml:space="preserve">Tổng cộng hệ số </t>
  </si>
  <si>
    <t>Hế số lương theo ngạch, bậc, chức vụ</t>
  </si>
  <si>
    <t>Hệ số phụ cấp khu vực</t>
  </si>
  <si>
    <t>Hệ số phụ cấp ưu đãi nghề theo NĐ 56/2011/NĐ-CP</t>
  </si>
  <si>
    <t>Hệ số lương, phụ cấp tăng  và các khoản đóng góp năm 2025 (tính 12 tháng)</t>
  </si>
  <si>
    <t>Hệ số lương theo ngạch bậc, chức vụ</t>
  </si>
  <si>
    <t>KINH PHÍ CHI THƯỜNG XUYÊN CHO CÁC TRẠM Y TẾ NĂM 2025</t>
  </si>
  <si>
    <t>16=3*2.340</t>
  </si>
  <si>
    <t>18=4*2.340*12T*10%</t>
  </si>
  <si>
    <t>TỔNG HỢP CHẾ ĐỘ PHỤ CẤP ƯU ĐÃI NGHỀ ĐỐI VỚI CÁN BỘ, VIÊN CHỨC Y TẾ NĂM 2025</t>
  </si>
  <si>
    <t xml:space="preserve">Triệu Thị NHung </t>
  </si>
  <si>
    <t xml:space="preserve">Lương Thị Loan </t>
  </si>
  <si>
    <t xml:space="preserve">Đỗ Quang Hợp </t>
  </si>
  <si>
    <t xml:space="preserve">Hoàng Minh Đức  </t>
  </si>
  <si>
    <t xml:space="preserve">Phạm Thị Quỳnh Nga </t>
  </si>
  <si>
    <t xml:space="preserve">Nguyễn Thị Thanh Hồng </t>
  </si>
  <si>
    <t xml:space="preserve">Phùng Thị Phương Thuỷ </t>
  </si>
  <si>
    <t xml:space="preserve">Trần Thị Thu Hà </t>
  </si>
  <si>
    <t xml:space="preserve">Nguyễn Thị Thuỷ </t>
  </si>
  <si>
    <t xml:space="preserve">Nguyễn Thị Hồng </t>
  </si>
  <si>
    <t xml:space="preserve">Đỗ Mạnh Hùng </t>
  </si>
  <si>
    <t xml:space="preserve">Hoàng THị Hồng Thuý </t>
  </si>
  <si>
    <t xml:space="preserve">Lương Thuý Hoan </t>
  </si>
  <si>
    <t xml:space="preserve">Trần Đức Tùng </t>
  </si>
  <si>
    <t xml:space="preserve">Hoàng Thị Lan </t>
  </si>
  <si>
    <t xml:space="preserve">Lê Thị Dung </t>
  </si>
  <si>
    <t xml:space="preserve">Nguyễn Thái Giang </t>
  </si>
  <si>
    <t xml:space="preserve">Diêm Thế Phương </t>
  </si>
  <si>
    <t xml:space="preserve">Hoàng Thị Làn </t>
  </si>
  <si>
    <t xml:space="preserve">Phạm Thị Hoa </t>
  </si>
  <si>
    <t xml:space="preserve">Nguyễn Thị Hiên </t>
  </si>
  <si>
    <t xml:space="preserve">Lương Thị Dung </t>
  </si>
  <si>
    <t xml:space="preserve">Nguyễn Thanh Phương </t>
  </si>
  <si>
    <t>Nguyễn Phương Mai</t>
  </si>
  <si>
    <t xml:space="preserve">Nguyễn Thu Hương </t>
  </si>
  <si>
    <t xml:space="preserve">Đỗ Thị Hằng </t>
  </si>
  <si>
    <t xml:space="preserve">Nguyễn Văn Ngọc </t>
  </si>
  <si>
    <t xml:space="preserve">Nguyễn Thuỳ Linh </t>
  </si>
  <si>
    <t xml:space="preserve">Nguyễn Tiến Phong </t>
  </si>
  <si>
    <t xml:space="preserve">Phạm Thị Thuỷ </t>
  </si>
  <si>
    <t xml:space="preserve">Lục Thị Giang </t>
  </si>
  <si>
    <t xml:space="preserve">Nguyễn Thị Hà Hoa </t>
  </si>
  <si>
    <t xml:space="preserve">Nguyễn Thị Linh Chi </t>
  </si>
  <si>
    <t>Tống nhu cầu kinh Phí năm 2025</t>
  </si>
  <si>
    <t xml:space="preserve">Phạm Khả Thành Kha </t>
  </si>
  <si>
    <t xml:space="preserve">Đỗ Tiến Khanh </t>
  </si>
  <si>
    <t xml:space="preserve">Hà Văn Phúc </t>
  </si>
  <si>
    <t xml:space="preserve">Vũ Thị Thu Hằng </t>
  </si>
  <si>
    <t xml:space="preserve">Nguyễn Văn Trường </t>
  </si>
  <si>
    <t xml:space="preserve">Nguyễn Thị Thanh Huyền </t>
  </si>
  <si>
    <t xml:space="preserve">Nguyễn Thị Thu Hà </t>
  </si>
  <si>
    <t xml:space="preserve">Nguyễn Thị Huệ </t>
  </si>
  <si>
    <t xml:space="preserve">Đào Thị Hải </t>
  </si>
  <si>
    <t xml:space="preserve">Đàm Thị Thuý Lan </t>
  </si>
  <si>
    <t xml:space="preserve">NinhThị Duyên </t>
  </si>
  <si>
    <t xml:space="preserve">Nguyễn Thị Thơm </t>
  </si>
  <si>
    <t xml:space="preserve">Nguyễn Thị Hảo  </t>
  </si>
  <si>
    <t xml:space="preserve">Trần Thị Tấm </t>
  </si>
  <si>
    <t xml:space="preserve">Lương Thị Vân </t>
  </si>
  <si>
    <t xml:space="preserve">Trần Thanh Tỉnh </t>
  </si>
  <si>
    <t xml:space="preserve">Nguyễn Minh Năng </t>
  </si>
  <si>
    <t xml:space="preserve">Dương Thế Tùng </t>
  </si>
  <si>
    <t xml:space="preserve">Hoàng Thị Thanh Tâm </t>
  </si>
  <si>
    <t xml:space="preserve">Phạm Thị Hoàng Mai </t>
  </si>
  <si>
    <t xml:space="preserve">Nguyễn Thị Hạnh </t>
  </si>
  <si>
    <t xml:space="preserve">Nguyễn Thị Lan </t>
  </si>
  <si>
    <t>Dương Thị Thu Hà</t>
  </si>
  <si>
    <t>Dương Thị Ngân 4,06</t>
  </si>
  <si>
    <t xml:space="preserve">Nguyễn Thị Cẩm </t>
  </si>
  <si>
    <t xml:space="preserve">Nguyễn Thị Hằng </t>
  </si>
  <si>
    <t xml:space="preserve">Nguyễn Thị Thu Dung </t>
  </si>
  <si>
    <t xml:space="preserve">Nguyễn Thị Thanh Thuỷ </t>
  </si>
  <si>
    <t xml:space="preserve">Lương Thị Ngân </t>
  </si>
  <si>
    <t xml:space="preserve">Nguyễn Thị Chinh </t>
  </si>
  <si>
    <t xml:space="preserve">Lê Đắc Thắng </t>
  </si>
  <si>
    <t xml:space="preserve">Nguyễn Thị Đào </t>
  </si>
  <si>
    <t xml:space="preserve">Nguyễn Thị Nhung </t>
  </si>
  <si>
    <t xml:space="preserve">Nguyễn Mạnh Hùng </t>
  </si>
  <si>
    <t xml:space="preserve">Phan Thị Thanh Minh </t>
  </si>
  <si>
    <t xml:space="preserve">Phan Thị Quỳnh Thư </t>
  </si>
  <si>
    <t xml:space="preserve">Diêm Mai Hạnh </t>
  </si>
  <si>
    <t xml:space="preserve">Đỗ Thu Hà </t>
  </si>
  <si>
    <t xml:space="preserve">Hoàng Thị Tuyết </t>
  </si>
  <si>
    <t>Nguyễn Thị Thuý  460</t>
  </si>
  <si>
    <t>Vũ Hồng Quyên</t>
  </si>
  <si>
    <t xml:space="preserve">Nguyễn Quỳnh Phương </t>
  </si>
  <si>
    <t xml:space="preserve">Dương Thị Duyên Hải </t>
  </si>
  <si>
    <t xml:space="preserve">Vũ Đức Toàn </t>
  </si>
  <si>
    <t xml:space="preserve">Lê Thị Trần Hưởng </t>
  </si>
  <si>
    <t xml:space="preserve">Nguyễn Văn Mùi </t>
  </si>
  <si>
    <t xml:space="preserve">Nguyễn Thị Hoài </t>
  </si>
  <si>
    <t xml:space="preserve">Thân Thị Luận </t>
  </si>
  <si>
    <t xml:space="preserve">Thân Thị Hữu </t>
  </si>
  <si>
    <t xml:space="preserve">Nguyễn Thị Chuyên </t>
  </si>
  <si>
    <t xml:space="preserve">Khổng Thị Nguyệt </t>
  </si>
  <si>
    <t xml:space="preserve">Ngô Thị Nương </t>
  </si>
  <si>
    <t xml:space="preserve">Đinh Thị Mỵ </t>
  </si>
  <si>
    <t xml:space="preserve">Nguyễn Diệu Linh </t>
  </si>
  <si>
    <t xml:space="preserve">Hoàng Thị Mai </t>
  </si>
  <si>
    <t xml:space="preserve">Đào Thị Thanh </t>
  </si>
  <si>
    <t xml:space="preserve">Liễu Thị Huyền </t>
  </si>
  <si>
    <t xml:space="preserve">Nguyễn Phương Thuỷ </t>
  </si>
  <si>
    <t xml:space="preserve">Trịnh Văn Nhuần </t>
  </si>
  <si>
    <t xml:space="preserve">Nguyễn Văn Bính </t>
  </si>
  <si>
    <t>Nguyễn Thị Thuỷ 424</t>
  </si>
  <si>
    <t xml:space="preserve">Phạm Thị Thu Hà </t>
  </si>
  <si>
    <t xml:space="preserve">Vũ Quang Hồng </t>
  </si>
  <si>
    <t xml:space="preserve">Nguyễn Thị Ánh Vân  </t>
  </si>
  <si>
    <t xml:space="preserve">Trịnh Văn Chung </t>
  </si>
  <si>
    <t xml:space="preserve">Nguyễn Thị Kim Chi </t>
  </si>
  <si>
    <t xml:space="preserve">Nguyễn Thị Hồng Hạnh </t>
  </si>
  <si>
    <t xml:space="preserve">Trịnh Thị Ngọc Tân </t>
  </si>
  <si>
    <t xml:space="preserve">Nguyễn Thị Bích Hà </t>
  </si>
  <si>
    <t xml:space="preserve">Nguyễn Thị Trang </t>
  </si>
  <si>
    <t xml:space="preserve">Lê Thị Quyên </t>
  </si>
  <si>
    <t xml:space="preserve">Bùi Thị Kim Thoa </t>
  </si>
  <si>
    <t xml:space="preserve">Nguyễn Thị Khánh Hưng </t>
  </si>
  <si>
    <t xml:space="preserve">Nguyễn Thị Diệu Thuý </t>
  </si>
  <si>
    <t xml:space="preserve">Nguyễn Thị Hương </t>
  </si>
  <si>
    <t xml:space="preserve">Nguyễn Thị Hoà </t>
  </si>
  <si>
    <t xml:space="preserve">Nguyễn Thị Hồng Thu </t>
  </si>
  <si>
    <t xml:space="preserve">Nguyễn Thị Chiến </t>
  </si>
  <si>
    <t xml:space="preserve">Nguyễn Lan Phương </t>
  </si>
  <si>
    <t xml:space="preserve">Ngô Thị Lan Hương </t>
  </si>
  <si>
    <t xml:space="preserve">Vũ Thị Ánh </t>
  </si>
  <si>
    <t xml:space="preserve"> (Kèm theo Công văn số        / TTYT- HCTH ngày       tháng     năm 2024 của TTYT thành phố ) </t>
  </si>
  <si>
    <t>Chện lệch quỹ lương, phụ cấp tăng năm 2025</t>
  </si>
  <si>
    <t>Mức lương</t>
  </si>
  <si>
    <t>Phụ cấp</t>
  </si>
  <si>
    <t xml:space="preserve"> Phụ cấp</t>
  </si>
  <si>
    <t>22=15*21*1.490</t>
  </si>
  <si>
    <t>23=16*21*1.490</t>
  </si>
  <si>
    <t>24=17*21*1.490</t>
  </si>
  <si>
    <t>25=18*21*1.490</t>
  </si>
  <si>
    <t>26=18**21*1.490</t>
  </si>
  <si>
    <t>1.Trung tâm y tế Thành phố</t>
  </si>
  <si>
    <t>Trần Đức Tùng</t>
  </si>
  <si>
    <t>3,46</t>
  </si>
  <si>
    <t>3,66</t>
  </si>
  <si>
    <t>Hoàng Thị Làn</t>
  </si>
  <si>
    <t>3,33</t>
  </si>
  <si>
    <t>Nguyễn Tiến Phong</t>
  </si>
  <si>
    <t>2,34</t>
  </si>
  <si>
    <t>2,67</t>
  </si>
  <si>
    <t>Phạm Thị Thủy</t>
  </si>
  <si>
    <t>Hoàng Thị Lan</t>
  </si>
  <si>
    <t>3,34</t>
  </si>
  <si>
    <t>3,65</t>
  </si>
  <si>
    <t>Nguyễn Thị Thanh Hồng</t>
  </si>
  <si>
    <t>Lục Thị Giang</t>
  </si>
  <si>
    <t>Nguyễn Thị Hồng</t>
  </si>
  <si>
    <t>Lương Thị Loan</t>
  </si>
  <si>
    <t>Nguyễn Thái Giang</t>
  </si>
  <si>
    <t>Nguyễn Thùy Linh</t>
  </si>
  <si>
    <t>Lê Thị Dung</t>
  </si>
  <si>
    <t>Trần Thị Thu Hà</t>
  </si>
  <si>
    <t>Phùng T Phương Thủy</t>
  </si>
  <si>
    <t>3. Trạm Y tế xã phường</t>
  </si>
  <si>
    <t>Ngô Thị Hà</t>
  </si>
  <si>
    <t>Thân Thị Hữu</t>
  </si>
  <si>
    <t>Đàm Thị Thúy Lan</t>
  </si>
  <si>
    <t>Vũ Quang Hồng</t>
  </si>
  <si>
    <t xml:space="preserve"> Nguyễn Thị Nhung</t>
  </si>
  <si>
    <t>Nguyễn Thị Hoài</t>
  </si>
  <si>
    <t>Liễu Thị Huyền</t>
  </si>
  <si>
    <t>Đào Thị Thanh</t>
  </si>
  <si>
    <t>Lê Thị Trần Hưởng</t>
  </si>
  <si>
    <t>Nguyễn Thị Thu Hà</t>
  </si>
  <si>
    <t>Lê Đắc Thắng</t>
  </si>
  <si>
    <t>Trần Thanh Tỉnh</t>
  </si>
  <si>
    <t>4,32</t>
  </si>
  <si>
    <t>4,65</t>
  </si>
  <si>
    <t>Ngô Thị Nương</t>
  </si>
  <si>
    <t>Nguyên Thị Thu Dung</t>
  </si>
  <si>
    <t>Đỗ Tiến Khanh</t>
  </si>
  <si>
    <t>Dương Thị Duyên Hải</t>
  </si>
  <si>
    <t>Bùi Thị Kim Thoa</t>
  </si>
  <si>
    <t>Nguyễn Thị Chiến</t>
  </si>
  <si>
    <t>Vũ Thị Ánh</t>
  </si>
  <si>
    <t>Nguyễn Thị Thơm</t>
  </si>
  <si>
    <t>Nguyễn Thị Thủy</t>
  </si>
  <si>
    <t>Thân Thị Luận</t>
  </si>
  <si>
    <t>Nguyễn Thị Hạnh</t>
  </si>
  <si>
    <t>Nguyễn Thị Kim Chi</t>
  </si>
  <si>
    <t>Nguyễn Thị Đào</t>
  </si>
  <si>
    <t>Lương Thị Vân</t>
  </si>
  <si>
    <t>Phan Thị Thanh Minh</t>
  </si>
  <si>
    <t>Phan Thị Quỳnh Thư</t>
  </si>
  <si>
    <t xml:space="preserve"> Nguyễn Thị Lan</t>
  </si>
  <si>
    <t>Nguyễn Văn Trường</t>
  </si>
  <si>
    <t>4,98</t>
  </si>
  <si>
    <t>Nguyễn Thị Huệ</t>
  </si>
  <si>
    <t>Nguyễn Thị Cẩm</t>
  </si>
  <si>
    <t>Nguyễn Thị Chinh</t>
  </si>
  <si>
    <t>Nguyễn Diệu Linh</t>
  </si>
  <si>
    <t>Nguyễn Quỳnh Phương</t>
  </si>
  <si>
    <t>Đỗ Thu Hà</t>
  </si>
  <si>
    <t>Nguyễn Thị Hảo</t>
  </si>
  <si>
    <t>Đinh Thị Mỵ</t>
  </si>
  <si>
    <t>Dương Thị Ngân</t>
  </si>
  <si>
    <t>Nguyễn Thị Thanh Thủy</t>
  </si>
  <si>
    <t xml:space="preserve">Lương thị Ngân </t>
  </si>
  <si>
    <t xml:space="preserve">Nguyêễn Thị H Hạnh </t>
  </si>
  <si>
    <t>2. Phòng Dân số TP</t>
  </si>
  <si>
    <t>Nguyễn Khánh Phương</t>
  </si>
  <si>
    <t>Nguyễn Thị Mến</t>
  </si>
  <si>
    <t>NgÔ Thị Huyền</t>
  </si>
  <si>
    <t xml:space="preserve">4. </t>
  </si>
  <si>
    <t xml:space="preserve">Dân số phường xã </t>
  </si>
  <si>
    <t>Nguyễn Thị Hương Lan</t>
  </si>
  <si>
    <t>Tạ Thị Hồng Nhung</t>
  </si>
  <si>
    <t>2,86</t>
  </si>
  <si>
    <t>3,06</t>
  </si>
  <si>
    <t>Nguyễn Thị Thắm Hường</t>
  </si>
  <si>
    <t>Dương Thị Hằng</t>
  </si>
  <si>
    <t xml:space="preserve">Người lập                                                                                                 Thủ trưởng đơn vị </t>
  </si>
  <si>
    <t xml:space="preserve">Trạm Y tế  Lê Lợi </t>
  </si>
  <si>
    <t xml:space="preserve">Trạm Y tế   Trần Nguyên Hãn </t>
  </si>
  <si>
    <t xml:space="preserve">Trạm Y tế   Hoàng Văn Thụ </t>
  </si>
  <si>
    <t xml:space="preserve">Trạm Y tế  Trần Phú </t>
  </si>
  <si>
    <t xml:space="preserve">Trạm Y tế  Ngô Quyền </t>
  </si>
  <si>
    <t xml:space="preserve">Trạm Y tế  Mỹ Độ </t>
  </si>
  <si>
    <t xml:space="preserve">Trạm Y tế  Thọ Xương </t>
  </si>
  <si>
    <t xml:space="preserve">Trạm Y tế  Dĩnh Kế </t>
  </si>
  <si>
    <t xml:space="preserve">Trạm Y tế  Xương Giang </t>
  </si>
  <si>
    <t xml:space="preserve">Trạm Y tế  Đa Mai </t>
  </si>
  <si>
    <t xml:space="preserve">Trạm Y tế Song Mai   </t>
  </si>
  <si>
    <t xml:space="preserve">Trạm Y tế  Song Khê </t>
  </si>
  <si>
    <t xml:space="preserve">Trạm Y tế  Tân Tiến </t>
  </si>
  <si>
    <t xml:space="preserve">Trạm Y tế  Tân Mỹ </t>
  </si>
  <si>
    <t xml:space="preserve">Trạm Y tế   Đồng Sơn </t>
  </si>
  <si>
    <t xml:space="preserve"> Trạm Y tế  Dĩnh Trì </t>
  </si>
  <si>
    <t xml:space="preserve">Người lập                                                                                                                                          Thủ trưởng đơn vị </t>
  </si>
  <si>
    <t xml:space="preserve">TRUNG TÂM Y TẾ THÀNH PHỐ </t>
  </si>
  <si>
    <t>Bắc Giang , ngày 3  tháng 10 năm 2024</t>
  </si>
  <si>
    <t>Trương Tường Linh</t>
  </si>
  <si>
    <t>Nguyễn Thị Hương Giang</t>
  </si>
  <si>
    <t>Vũ Thị Hằng</t>
  </si>
  <si>
    <t>Đỗ Vân Anh</t>
  </si>
  <si>
    <t>Phạm Hoàng Yến</t>
  </si>
  <si>
    <t>Lê Khánh Vân</t>
  </si>
  <si>
    <t>Đào Thị Dung</t>
  </si>
  <si>
    <t>Nguyễn Thị Hiếu</t>
  </si>
  <si>
    <t>Tạ Thị Hương</t>
  </si>
  <si>
    <t>Vũ Ngọc Thảo Linh</t>
  </si>
  <si>
    <t xml:space="preserve">Nguyễn Thị Trâm </t>
  </si>
  <si>
    <t>Tổng</t>
  </si>
  <si>
    <t>Nguyễn Thị Xuân Thu</t>
  </si>
  <si>
    <t>Đặng Thị Kim Lan</t>
  </si>
  <si>
    <t>Ngô Thị Huyền</t>
  </si>
  <si>
    <t>Nguyễn Ngọc Thúy</t>
  </si>
  <si>
    <t>Nguyễn Thị Thu Mai</t>
  </si>
  <si>
    <t xml:space="preserve">Kinh phí khối dự phòng </t>
  </si>
  <si>
    <t>Khối dân số Tp</t>
  </si>
  <si>
    <t xml:space="preserve">Khối dân số  phường xã </t>
  </si>
  <si>
    <t xml:space="preserve">Khối TYT phường xã </t>
  </si>
  <si>
    <t xml:space="preserve">Người lập                                                                                               Thủ trưởng đơn vị </t>
  </si>
  <si>
    <t xml:space="preserve">TRUNG TÂM TẾ THÀNH PHỐ </t>
  </si>
  <si>
    <t>10=9*12 tháng</t>
  </si>
  <si>
    <t>9=4*2.340</t>
  </si>
  <si>
    <t>7=(6+8+9)*1%</t>
  </si>
  <si>
    <t xml:space="preserve">Tổng cộng các khoản đóng góp </t>
  </si>
  <si>
    <t>8=6+7</t>
  </si>
  <si>
    <t>6=(6+8+9)*22,5%</t>
  </si>
  <si>
    <t xml:space="preserve">TTYT thành phố </t>
  </si>
  <si>
    <t xml:space="preserve">Khối dự phòng </t>
  </si>
  <si>
    <t xml:space="preserve">Trạm Y tế xã </t>
  </si>
  <si>
    <t>Dân số PX</t>
  </si>
  <si>
    <t>4=5+8</t>
  </si>
  <si>
    <t>13=(4+6+7)*23,5%</t>
  </si>
  <si>
    <t>17=4*2.340*12T*10%</t>
  </si>
  <si>
    <t>16=16*12 tháng</t>
  </si>
  <si>
    <t>15=3*2.340</t>
  </si>
  <si>
    <t>18=16+17</t>
  </si>
  <si>
    <t xml:space="preserve">Người  lập                                                                                                                                                                                  Thủ trưởng đơn vị </t>
  </si>
  <si>
    <r>
      <t>Phạm Thị Thắm( n</t>
    </r>
    <r>
      <rPr>
        <sz val="8"/>
        <rFont val="Times New Roman"/>
        <family val="1"/>
      </rPr>
      <t>ghỉ TS 1/2025)</t>
    </r>
  </si>
  <si>
    <t xml:space="preserve">TRUNG TÂM Y TẾ THÀNH PHỐ BẮC GIANG </t>
  </si>
  <si>
    <t xml:space="preserve">Người lập                                                                                                          Thủ trưởng đơn vị </t>
  </si>
  <si>
    <t xml:space="preserve">Người lập                                                                                          Thủ trưởng đơn vị </t>
  </si>
  <si>
    <t xml:space="preserve">Người lập                                                                       Thủ trưởng đơn vị </t>
  </si>
  <si>
    <t xml:space="preserve">TRUNG TAM Y TẾ THÀNH PHỐ BẮC GIANG </t>
  </si>
  <si>
    <t xml:space="preserve">ĐVT : nghìn đồng </t>
  </si>
  <si>
    <t>Mức lương hiện hưởng</t>
  </si>
  <si>
    <t xml:space="preserve">Mức  lương tăng </t>
  </si>
  <si>
    <t xml:space="preserve">Người lập                                                                                 Thủ trưởng đơn vị </t>
  </si>
  <si>
    <t xml:space="preserve">TRUNG TÂM  Y TẾ THÀNH PHỐ </t>
  </si>
  <si>
    <t xml:space="preserve">Người lập                                                                                       Thủ trưởng đơn vị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</si>
</sst>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_-* #,##0.00\ _₫_-;\-* #,##0.00\ _₫_-;_-* &quot;-&quot;??\ _₫_-;_-@_-"/>
    <numFmt numFmtId="169" formatCode="0\ 000\ 000"/>
    <numFmt numFmtId="170" formatCode="_-* #,##0.000_-;\-* #,##0.000_-;_-* &quot;-&quot;??_-;_-@_-"/>
    <numFmt numFmtId="171" formatCode="_(* #,##0.0_);_(* \(#,##0.0\);_(* &quot;-&quot;??_);_(@_)"/>
    <numFmt numFmtId="172" formatCode="0.0"/>
    <numFmt numFmtId="173" formatCode="_-* #,##0.00&quot; &quot;_₫_-;\-* #,##0.00&quot; &quot;_₫_-;_-* &quot;-&quot;??&quot; &quot;_₫_-;_-@_-"/>
    <numFmt numFmtId="174" formatCode="_-&quot;$&quot;&quot; &quot;* #,##0.00_-;\-&quot;$&quot;&quot; &quot;* #,##0.00_-;_-&quot;$&quot;&quot; &quot;* &quot;-&quot;??_-;_-@_-"/>
    <numFmt numFmtId="175" formatCode="#,##0.000000"/>
    <numFmt numFmtId="176" formatCode="#,##0.000"/>
    <numFmt numFmtId="177" formatCode="###&quot; &quot;###&quot; &quot;###"/>
    <numFmt numFmtId="179" formatCode="0.000"/>
    <numFmt numFmtId="180" formatCode="0.0000"/>
  </numFmts>
  <fonts count="120">
    <font>
      <sz val="12"/>
      <name val=".VnTime"/>
    </font>
    <font>
      <sz val="12"/>
      <name val=".VnTime"/>
      <family val="2"/>
    </font>
    <font>
      <sz val="10"/>
      <name val=".VnTimeH"/>
      <family val="2"/>
    </font>
    <font>
      <sz val="10"/>
      <name val="Arial"/>
      <family val="2"/>
    </font>
    <font>
      <b/>
      <u/>
      <sz val="10"/>
      <name val=".VnTimeH"/>
      <family val="2"/>
    </font>
    <font>
      <b/>
      <sz val="14"/>
      <name val=".VnTimeH"/>
      <family val="2"/>
    </font>
    <font>
      <i/>
      <sz val="10"/>
      <name val="Arial"/>
      <family val="2"/>
    </font>
    <font>
      <i/>
      <sz val="10"/>
      <name val=".VnTime"/>
      <family val="2"/>
    </font>
    <font>
      <sz val="9"/>
      <name val=".VnTime"/>
      <family val="2"/>
    </font>
    <font>
      <b/>
      <sz val="10"/>
      <name val="Arial"/>
      <family val="2"/>
    </font>
    <font>
      <sz val="10"/>
      <name val=".VnTime"/>
      <family val="2"/>
    </font>
    <font>
      <b/>
      <sz val="10"/>
      <name val=".VnTime"/>
      <family val="2"/>
    </font>
    <font>
      <b/>
      <sz val="12"/>
      <name val=".VnTime"/>
      <family val="2"/>
    </font>
    <font>
      <i/>
      <sz val="12"/>
      <name val=".VnTime"/>
      <family val="2"/>
    </font>
    <font>
      <sz val="11"/>
      <name val=".VnTimeH"/>
      <family val="2"/>
    </font>
    <font>
      <b/>
      <sz val="12"/>
      <name val=".VnTimeH"/>
      <family val="2"/>
    </font>
    <font>
      <sz val="12"/>
      <name val=".VnTimeH"/>
      <family val="2"/>
    </font>
    <font>
      <sz val="8"/>
      <name val=".VnTime"/>
      <family val="2"/>
    </font>
    <font>
      <b/>
      <sz val="11"/>
      <name val=".VnTimeH"/>
      <family val="2"/>
    </font>
    <font>
      <sz val="8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name val=".VnTime"/>
      <family val="2"/>
    </font>
    <font>
      <i/>
      <sz val="12"/>
      <name val="Arial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b/>
      <sz val="12"/>
      <name val=".VnArial Narrow"/>
      <family val="2"/>
    </font>
    <font>
      <b/>
      <i/>
      <sz val="12"/>
      <name val="Times New Roman"/>
      <family val="1"/>
    </font>
    <font>
      <sz val="11"/>
      <name val=".VnTime"/>
      <family val="2"/>
    </font>
    <font>
      <b/>
      <sz val="16"/>
      <name val="Times New Roman"/>
      <family val="1"/>
    </font>
    <font>
      <sz val="14"/>
      <name val=".VnTime"/>
      <family val="2"/>
    </font>
    <font>
      <b/>
      <sz val="14"/>
      <name val=".VnArial Narrow"/>
      <family val="2"/>
    </font>
    <font>
      <sz val="10"/>
      <name val="Arial"/>
      <family val="2"/>
    </font>
    <font>
      <b/>
      <i/>
      <sz val="13"/>
      <name val="Times New Roman"/>
      <family val="1"/>
    </font>
    <font>
      <sz val="12"/>
      <name val=".VnArial Narrow"/>
      <family val="2"/>
    </font>
    <font>
      <b/>
      <sz val="9"/>
      <name val="Times New Roman"/>
      <family val="1"/>
    </font>
    <font>
      <sz val="12"/>
      <color rgb="FFFF0000"/>
      <name val=".VnTime"/>
      <family val="2"/>
    </font>
    <font>
      <sz val="14"/>
      <name val=".VnArial Narrow"/>
      <family val="2"/>
    </font>
    <font>
      <b/>
      <sz val="8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i/>
      <sz val="10"/>
      <name val="Arial"/>
      <family val="2"/>
    </font>
    <font>
      <sz val="12"/>
      <color rgb="FFFF0000"/>
      <name val="Times New Roman"/>
      <family val="1"/>
    </font>
    <font>
      <sz val="11"/>
      <name val="Arial Narrow"/>
      <family val="2"/>
    </font>
    <font>
      <sz val="14"/>
      <color theme="1"/>
      <name val="Times New Roman"/>
      <family val="1"/>
    </font>
    <font>
      <b/>
      <sz val="11"/>
      <name val=".VnArial Narrow"/>
      <family val="2"/>
    </font>
    <font>
      <b/>
      <sz val="11"/>
      <name val=".VnTime"/>
      <family val="2"/>
    </font>
    <font>
      <sz val="11"/>
      <name val=".VnArial Narrow"/>
      <family val="2"/>
    </font>
    <font>
      <sz val="11"/>
      <color indexed="10"/>
      <name val=".VnTime"/>
      <family val="2"/>
    </font>
    <font>
      <sz val="10"/>
      <name val="Arial Narrow"/>
      <family val="2"/>
    </font>
    <font>
      <sz val="12"/>
      <color indexed="12"/>
      <name val=".VnTime"/>
      <family val="2"/>
    </font>
    <font>
      <sz val="12"/>
      <color indexed="12"/>
      <name val="Times New Roman"/>
      <family val="1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2"/>
      <color indexed="12"/>
      <name val="Arial"/>
      <family val="2"/>
    </font>
    <font>
      <sz val="9"/>
      <color indexed="12"/>
      <name val="Arial Narrow"/>
      <family val="2"/>
    </font>
    <font>
      <sz val="11"/>
      <color indexed="12"/>
      <name val="Arial Narrow"/>
      <family val="2"/>
    </font>
    <font>
      <b/>
      <i/>
      <sz val="12"/>
      <name val=".VnTime"/>
      <family val="2"/>
    </font>
    <font>
      <sz val="12"/>
      <color indexed="12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10"/>
      <color rgb="FFFF0000"/>
      <name val="Times New Roman"/>
      <family val="1"/>
    </font>
    <font>
      <sz val="11"/>
      <color rgb="FFFF0000"/>
      <name val=".VnArial Narrow"/>
      <family val="2"/>
    </font>
    <font>
      <b/>
      <sz val="12"/>
      <color rgb="FFFF0000"/>
      <name val="Arial"/>
      <family val="2"/>
    </font>
    <font>
      <b/>
      <i/>
      <sz val="11"/>
      <name val=".VnArial Narrow"/>
      <family val="2"/>
    </font>
    <font>
      <sz val="10"/>
      <color rgb="FFFF0000"/>
      <name val=".VnTime"/>
      <family val="2"/>
    </font>
    <font>
      <b/>
      <sz val="11"/>
      <color rgb="FFFF0000"/>
      <name val=".VnArial Narrow"/>
      <family val="2"/>
    </font>
    <font>
      <sz val="12"/>
      <name val="Arial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sz val="11"/>
      <color rgb="FFFF0000"/>
      <name val="Times New Roman"/>
      <family val="1"/>
    </font>
    <font>
      <sz val="11"/>
      <color rgb="FFFF0000"/>
      <name val="Arial Narrow"/>
      <family val="2"/>
    </font>
    <font>
      <b/>
      <sz val="12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1"/>
      <name val="Times New Roman"/>
      <family val="1"/>
      <charset val="163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.VnArial Narrow"/>
      <family val="2"/>
    </font>
    <font>
      <sz val="11"/>
      <color indexed="12"/>
      <name val=".VnTime"/>
      <family val="2"/>
    </font>
    <font>
      <i/>
      <sz val="11"/>
      <name val=".VnArial Narrow"/>
      <family val="2"/>
    </font>
    <font>
      <i/>
      <sz val="11"/>
      <color indexed="12"/>
      <name val=".VnArial Narrow"/>
      <family val="2"/>
    </font>
    <font>
      <b/>
      <sz val="11"/>
      <color indexed="12"/>
      <name val=".VnArial Narrow"/>
      <family val="2"/>
    </font>
    <font>
      <b/>
      <i/>
      <sz val="11"/>
      <color indexed="12"/>
      <name val=".VnArial Narrow"/>
      <family val="2"/>
    </font>
    <font>
      <sz val="6"/>
      <name val="Times New Roman"/>
      <family val="1"/>
    </font>
    <font>
      <sz val="6"/>
      <color indexed="12"/>
      <name val="Times New Roman"/>
      <family val="1"/>
    </font>
    <font>
      <b/>
      <sz val="6"/>
      <name val="Times New Roman"/>
      <family val="1"/>
    </font>
    <font>
      <sz val="6"/>
      <color theme="1"/>
      <name val="Times New Roman"/>
      <family val="1"/>
    </font>
    <font>
      <sz val="12"/>
      <color theme="1"/>
      <name val="Arial Narrow"/>
      <family val="2"/>
    </font>
    <font>
      <sz val="12"/>
      <color theme="1"/>
      <name val="Times New Roman"/>
      <family val="1"/>
    </font>
    <font>
      <b/>
      <i/>
      <sz val="10"/>
      <name val="DAS FONT"/>
      <family val="1"/>
    </font>
    <font>
      <sz val="10"/>
      <name val=".VnArial Narrow"/>
      <family val="2"/>
    </font>
    <font>
      <sz val="8"/>
      <name val=".VnArial Narrow"/>
      <family val="2"/>
    </font>
    <font>
      <sz val="9"/>
      <name val=".VnArial Narrow"/>
      <family val="2"/>
    </font>
    <font>
      <sz val="8"/>
      <name val=".VnTime"/>
    </font>
    <font>
      <sz val="9"/>
      <name val=".VnTime"/>
    </font>
    <font>
      <sz val="9"/>
      <color indexed="10"/>
      <name val=".VnArial Narrow"/>
      <family val="2"/>
    </font>
    <font>
      <i/>
      <sz val="9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DAS FONT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color indexed="8"/>
      <name val="Times New Roman"/>
      <family val="1"/>
    </font>
    <font>
      <sz val="12"/>
      <name val=".Vn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168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45" fillId="0" borderId="0"/>
    <xf numFmtId="173" fontId="85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165" fontId="10" fillId="0" borderId="0" applyFont="0" applyFill="0" applyBorder="0" applyAlignment="0" applyProtection="0"/>
    <xf numFmtId="0" fontId="3" fillId="0" borderId="0"/>
  </cellStyleXfs>
  <cellXfs count="1317">
    <xf numFmtId="0" fontId="0" fillId="0" borderId="0" xfId="0"/>
    <xf numFmtId="0" fontId="2" fillId="0" borderId="0" xfId="0" applyFont="1" applyFill="1" applyAlignment="1">
      <alignment horizontal="center"/>
    </xf>
    <xf numFmtId="166" fontId="3" fillId="0" borderId="0" xfId="1" applyNumberFormat="1" applyFont="1" applyFill="1"/>
    <xf numFmtId="0" fontId="3" fillId="0" borderId="0" xfId="0" applyFont="1" applyFill="1"/>
    <xf numFmtId="166" fontId="6" fillId="0" borderId="0" xfId="1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left"/>
    </xf>
    <xf numFmtId="166" fontId="11" fillId="0" borderId="0" xfId="1" applyNumberFormat="1" applyFont="1" applyFill="1"/>
    <xf numFmtId="0" fontId="12" fillId="0" borderId="0" xfId="0" applyFont="1"/>
    <xf numFmtId="0" fontId="5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166" fontId="16" fillId="0" borderId="0" xfId="1" applyNumberFormat="1" applyFont="1" applyAlignment="1"/>
    <xf numFmtId="166" fontId="15" fillId="0" borderId="0" xfId="1" applyNumberFormat="1" applyFont="1" applyAlignment="1"/>
    <xf numFmtId="0" fontId="12" fillId="0" borderId="1" xfId="0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6" fontId="12" fillId="0" borderId="5" xfId="1" applyNumberFormat="1" applyFont="1" applyBorder="1"/>
    <xf numFmtId="166" fontId="10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0" borderId="8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166" fontId="12" fillId="0" borderId="9" xfId="1" applyNumberFormat="1" applyFont="1" applyBorder="1" applyAlignment="1">
      <alignment horizontal="center"/>
    </xf>
    <xf numFmtId="0" fontId="24" fillId="0" borderId="0" xfId="0" applyFont="1"/>
    <xf numFmtId="0" fontId="24" fillId="0" borderId="0" xfId="0" applyNumberFormat="1" applyFont="1"/>
    <xf numFmtId="0" fontId="1" fillId="0" borderId="0" xfId="0" applyFont="1"/>
    <xf numFmtId="0" fontId="20" fillId="0" borderId="0" xfId="0" applyFont="1" applyBorder="1"/>
    <xf numFmtId="0" fontId="32" fillId="0" borderId="0" xfId="0" applyFont="1"/>
    <xf numFmtId="0" fontId="25" fillId="0" borderId="0" xfId="0" applyFont="1"/>
    <xf numFmtId="166" fontId="31" fillId="0" borderId="0" xfId="1" applyNumberFormat="1" applyFont="1" applyFill="1" applyAlignment="1">
      <alignment horizontal="left"/>
    </xf>
    <xf numFmtId="166" fontId="20" fillId="0" borderId="1" xfId="1" applyNumberFormat="1" applyFont="1" applyFill="1" applyBorder="1" applyAlignment="1">
      <alignment horizontal="center" vertical="center" wrapText="1"/>
    </xf>
    <xf numFmtId="166" fontId="20" fillId="0" borderId="0" xfId="0" applyNumberFormat="1" applyFont="1"/>
    <xf numFmtId="0" fontId="32" fillId="0" borderId="9" xfId="0" applyNumberFormat="1" applyFont="1" applyBorder="1" applyAlignment="1">
      <alignment horizontal="center"/>
    </xf>
    <xf numFmtId="0" fontId="32" fillId="0" borderId="5" xfId="0" applyNumberFormat="1" applyFont="1" applyBorder="1" applyAlignment="1">
      <alignment horizontal="center"/>
    </xf>
    <xf numFmtId="166" fontId="32" fillId="0" borderId="0" xfId="0" applyNumberFormat="1" applyFont="1"/>
    <xf numFmtId="166" fontId="24" fillId="0" borderId="0" xfId="0" applyNumberFormat="1" applyFont="1"/>
    <xf numFmtId="0" fontId="32" fillId="0" borderId="0" xfId="0" applyNumberFormat="1" applyFont="1"/>
    <xf numFmtId="166" fontId="32" fillId="0" borderId="0" xfId="0" applyNumberFormat="1" applyFont="1" applyFill="1" applyBorder="1" applyAlignment="1">
      <alignment horizontal="center"/>
    </xf>
    <xf numFmtId="0" fontId="20" fillId="0" borderId="0" xfId="0" applyFont="1" applyAlignment="1"/>
    <xf numFmtId="166" fontId="37" fillId="0" borderId="7" xfId="1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41" fillId="0" borderId="0" xfId="0" applyFont="1"/>
    <xf numFmtId="166" fontId="42" fillId="0" borderId="1" xfId="1" applyNumberFormat="1" applyFont="1" applyBorder="1" applyAlignment="1">
      <alignment horizontal="right" vertical="center" wrapText="1"/>
    </xf>
    <xf numFmtId="166" fontId="20" fillId="0" borderId="0" xfId="1" applyNumberFormat="1" applyFont="1" applyFill="1" applyAlignment="1">
      <alignment horizontal="center"/>
    </xf>
    <xf numFmtId="166" fontId="3" fillId="0" borderId="0" xfId="1" applyNumberFormat="1" applyFont="1" applyFill="1" applyAlignment="1">
      <alignment horizontal="center"/>
    </xf>
    <xf numFmtId="0" fontId="24" fillId="0" borderId="0" xfId="0" applyNumberFormat="1" applyFont="1" applyAlignment="1"/>
    <xf numFmtId="166" fontId="31" fillId="0" borderId="1" xfId="1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27" fillId="0" borderId="0" xfId="0" applyFont="1" applyAlignment="1"/>
    <xf numFmtId="166" fontId="20" fillId="0" borderId="0" xfId="1" applyNumberFormat="1" applyFont="1" applyAlignment="1">
      <alignment horizontal="center"/>
    </xf>
    <xf numFmtId="0" fontId="27" fillId="0" borderId="0" xfId="0" applyFont="1"/>
    <xf numFmtId="0" fontId="24" fillId="0" borderId="0" xfId="0" applyFont="1" applyAlignment="1"/>
    <xf numFmtId="0" fontId="40" fillId="0" borderId="0" xfId="0" applyNumberFormat="1" applyFont="1" applyAlignment="1">
      <alignment horizontal="center"/>
    </xf>
    <xf numFmtId="166" fontId="33" fillId="0" borderId="0" xfId="1" applyNumberFormat="1" applyFont="1" applyFill="1" applyAlignment="1"/>
    <xf numFmtId="0" fontId="40" fillId="0" borderId="0" xfId="0" applyNumberFormat="1" applyFont="1" applyAlignment="1"/>
    <xf numFmtId="165" fontId="19" fillId="0" borderId="0" xfId="1" applyFont="1" applyBorder="1"/>
    <xf numFmtId="0" fontId="24" fillId="0" borderId="0" xfId="0" applyFont="1" applyBorder="1"/>
    <xf numFmtId="166" fontId="28" fillId="0" borderId="0" xfId="1" applyNumberFormat="1" applyFont="1" applyBorder="1" applyAlignment="1">
      <alignment horizontal="left" vertical="center" wrapText="1"/>
    </xf>
    <xf numFmtId="166" fontId="24" fillId="0" borderId="0" xfId="1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166" fontId="32" fillId="0" borderId="0" xfId="1" applyNumberFormat="1" applyFont="1" applyBorder="1" applyAlignment="1">
      <alignment horizontal="right" vertical="center" wrapText="1"/>
    </xf>
    <xf numFmtId="166" fontId="20" fillId="0" borderId="0" xfId="1" applyNumberFormat="1" applyFont="1" applyBorder="1"/>
    <xf numFmtId="166" fontId="20" fillId="0" borderId="0" xfId="0" applyNumberFormat="1" applyFont="1" applyBorder="1"/>
    <xf numFmtId="0" fontId="27" fillId="0" borderId="0" xfId="0" applyFont="1" applyBorder="1"/>
    <xf numFmtId="0" fontId="32" fillId="0" borderId="0" xfId="0" applyNumberFormat="1" applyFont="1" applyBorder="1" applyAlignment="1">
      <alignment horizontal="center" vertical="center" wrapText="1"/>
    </xf>
    <xf numFmtId="0" fontId="41" fillId="0" borderId="0" xfId="0" applyFont="1" applyBorder="1"/>
    <xf numFmtId="166" fontId="42" fillId="0" borderId="0" xfId="1" applyNumberFormat="1" applyFont="1" applyBorder="1" applyAlignment="1">
      <alignment horizontal="right" vertical="center" wrapText="1"/>
    </xf>
    <xf numFmtId="166" fontId="25" fillId="0" borderId="0" xfId="0" applyNumberFormat="1" applyFont="1" applyBorder="1"/>
    <xf numFmtId="0" fontId="32" fillId="0" borderId="0" xfId="0" applyFont="1" applyBorder="1"/>
    <xf numFmtId="166" fontId="3" fillId="0" borderId="0" xfId="1" applyNumberFormat="1" applyFont="1" applyFill="1" applyAlignment="1"/>
    <xf numFmtId="166" fontId="44" fillId="0" borderId="0" xfId="1" applyNumberFormat="1" applyFont="1" applyFill="1" applyAlignment="1"/>
    <xf numFmtId="166" fontId="1" fillId="0" borderId="0" xfId="1" applyNumberFormat="1" applyFont="1"/>
    <xf numFmtId="167" fontId="3" fillId="0" borderId="0" xfId="1" applyNumberFormat="1" applyFont="1" applyFill="1"/>
    <xf numFmtId="165" fontId="3" fillId="0" borderId="0" xfId="1" applyFont="1" applyFill="1"/>
    <xf numFmtId="166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/>
    <xf numFmtId="166" fontId="31" fillId="0" borderId="0" xfId="1" applyNumberFormat="1" applyFont="1" applyFill="1" applyBorder="1" applyAlignment="1">
      <alignment horizontal="left"/>
    </xf>
    <xf numFmtId="166" fontId="11" fillId="0" borderId="0" xfId="1" applyNumberFormat="1" applyFont="1" applyFill="1" applyBorder="1"/>
    <xf numFmtId="166" fontId="32" fillId="0" borderId="0" xfId="1" applyNumberFormat="1" applyFont="1" applyFill="1" applyAlignment="1">
      <alignment horizontal="left"/>
    </xf>
    <xf numFmtId="0" fontId="32" fillId="0" borderId="0" xfId="0" applyFont="1" applyAlignment="1"/>
    <xf numFmtId="0" fontId="3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6" fontId="1" fillId="0" borderId="5" xfId="1" applyNumberFormat="1" applyFont="1" applyBorder="1"/>
    <xf numFmtId="165" fontId="20" fillId="0" borderId="0" xfId="1" applyFont="1" applyFill="1" applyAlignment="1"/>
    <xf numFmtId="0" fontId="1" fillId="0" borderId="0" xfId="0" applyFont="1" applyFill="1"/>
    <xf numFmtId="0" fontId="24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/>
    <xf numFmtId="165" fontId="20" fillId="0" borderId="0" xfId="1" applyFont="1" applyFill="1" applyAlignment="1">
      <alignment horizontal="center"/>
    </xf>
    <xf numFmtId="165" fontId="11" fillId="0" borderId="0" xfId="1" applyFont="1" applyFill="1" applyBorder="1"/>
    <xf numFmtId="0" fontId="12" fillId="0" borderId="0" xfId="0" applyFont="1" applyFill="1"/>
    <xf numFmtId="165" fontId="20" fillId="0" borderId="1" xfId="1" applyFont="1" applyFill="1" applyBorder="1" applyAlignment="1">
      <alignment horizontal="center" vertical="center" wrapText="1"/>
    </xf>
    <xf numFmtId="165" fontId="3" fillId="0" borderId="0" xfId="1" applyFont="1" applyFill="1" applyBorder="1"/>
    <xf numFmtId="165" fontId="5" fillId="0" borderId="0" xfId="1" applyFont="1" applyFill="1" applyBorder="1" applyAlignment="1">
      <alignment vertical="top" wrapText="1"/>
    </xf>
    <xf numFmtId="165" fontId="21" fillId="0" borderId="0" xfId="1" applyFont="1" applyFill="1" applyAlignment="1"/>
    <xf numFmtId="0" fontId="24" fillId="0" borderId="6" xfId="0" applyNumberFormat="1" applyFont="1" applyFill="1" applyBorder="1" applyAlignment="1">
      <alignment horizontal="left"/>
    </xf>
    <xf numFmtId="167" fontId="3" fillId="0" borderId="0" xfId="1" applyNumberFormat="1" applyFont="1" applyFill="1" applyBorder="1"/>
    <xf numFmtId="167" fontId="11" fillId="0" borderId="0" xfId="1" applyNumberFormat="1" applyFont="1" applyFill="1" applyBorder="1"/>
    <xf numFmtId="165" fontId="7" fillId="0" borderId="12" xfId="1" applyFont="1" applyFill="1" applyBorder="1" applyAlignment="1"/>
    <xf numFmtId="167" fontId="14" fillId="0" borderId="0" xfId="1" applyNumberFormat="1" applyFont="1" applyFill="1" applyAlignment="1"/>
    <xf numFmtId="167" fontId="14" fillId="0" borderId="0" xfId="1" applyNumberFormat="1" applyFont="1" applyFill="1" applyAlignment="1">
      <alignment horizontal="center"/>
    </xf>
    <xf numFmtId="167" fontId="3" fillId="0" borderId="0" xfId="1" applyNumberFormat="1" applyFont="1" applyFill="1" applyAlignment="1">
      <alignment horizontal="left"/>
    </xf>
    <xf numFmtId="0" fontId="1" fillId="0" borderId="0" xfId="0" applyFont="1" applyBorder="1"/>
    <xf numFmtId="166" fontId="3" fillId="0" borderId="1" xfId="1" applyNumberFormat="1" applyFont="1" applyFill="1" applyBorder="1" applyAlignment="1">
      <alignment horizontal="center" vertical="center" wrapText="1"/>
    </xf>
    <xf numFmtId="166" fontId="32" fillId="0" borderId="0" xfId="1" applyNumberFormat="1" applyFont="1" applyFill="1" applyAlignment="1"/>
    <xf numFmtId="166" fontId="24" fillId="0" borderId="0" xfId="0" applyNumberFormat="1" applyFont="1" applyFill="1"/>
    <xf numFmtId="166" fontId="19" fillId="0" borderId="0" xfId="1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6" fontId="19" fillId="0" borderId="0" xfId="1" applyNumberFormat="1" applyFont="1" applyFill="1" applyAlignment="1">
      <alignment horizontal="center"/>
    </xf>
    <xf numFmtId="166" fontId="49" fillId="0" borderId="0" xfId="1" applyNumberFormat="1" applyFont="1" applyFill="1" applyAlignment="1">
      <alignment horizontal="center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/>
    <xf numFmtId="166" fontId="19" fillId="0" borderId="14" xfId="1" applyNumberFormat="1" applyFont="1" applyFill="1" applyBorder="1" applyAlignment="1">
      <alignment horizontal="center" vertical="center" wrapText="1"/>
    </xf>
    <xf numFmtId="166" fontId="19" fillId="0" borderId="14" xfId="1" applyNumberFormat="1" applyFont="1" applyFill="1" applyBorder="1" applyAlignment="1">
      <alignment horizontal="left" vertical="center" wrapText="1"/>
    </xf>
    <xf numFmtId="166" fontId="19" fillId="0" borderId="0" xfId="1" applyNumberFormat="1" applyFont="1" applyFill="1" applyBorder="1" applyAlignment="1">
      <alignment horizontal="center"/>
    </xf>
    <xf numFmtId="0" fontId="49" fillId="0" borderId="0" xfId="0" applyFont="1" applyFill="1" applyBorder="1" applyAlignment="1">
      <alignment vertical="top" wrapText="1"/>
    </xf>
    <xf numFmtId="166" fontId="49" fillId="0" borderId="0" xfId="1" applyNumberFormat="1" applyFont="1" applyFill="1"/>
    <xf numFmtId="166" fontId="25" fillId="0" borderId="0" xfId="1" applyNumberFormat="1" applyFont="1" applyFill="1"/>
    <xf numFmtId="166" fontId="50" fillId="0" borderId="0" xfId="1" applyNumberFormat="1" applyFont="1" applyFill="1" applyAlignment="1">
      <alignment horizontal="center"/>
    </xf>
    <xf numFmtId="166" fontId="50" fillId="0" borderId="0" xfId="1" applyNumberFormat="1" applyFont="1" applyFill="1" applyAlignment="1"/>
    <xf numFmtId="166" fontId="25" fillId="0" borderId="0" xfId="1" applyNumberFormat="1" applyFont="1" applyFill="1" applyAlignment="1"/>
    <xf numFmtId="0" fontId="25" fillId="0" borderId="0" xfId="0" applyFont="1" applyFill="1"/>
    <xf numFmtId="166" fontId="25" fillId="0" borderId="0" xfId="1" applyNumberFormat="1" applyFont="1" applyFill="1" applyAlignment="1">
      <alignment horizontal="center"/>
    </xf>
    <xf numFmtId="166" fontId="51" fillId="0" borderId="0" xfId="1" applyNumberFormat="1" applyFont="1" applyFill="1" applyAlignment="1">
      <alignment horizontal="center"/>
    </xf>
    <xf numFmtId="166" fontId="25" fillId="0" borderId="0" xfId="1" applyNumberFormat="1" applyFont="1" applyFill="1" applyAlignment="1">
      <alignment horizontal="left"/>
    </xf>
    <xf numFmtId="166" fontId="51" fillId="0" borderId="0" xfId="1" applyNumberFormat="1" applyFont="1" applyFill="1" applyBorder="1" applyAlignment="1">
      <alignment horizontal="center"/>
    </xf>
    <xf numFmtId="166" fontId="1" fillId="0" borderId="6" xfId="1" applyNumberFormat="1" applyFont="1" applyBorder="1"/>
    <xf numFmtId="0" fontId="1" fillId="0" borderId="0" xfId="0" quotePrefix="1" applyFont="1"/>
    <xf numFmtId="0" fontId="1" fillId="0" borderId="5" xfId="0" applyFont="1" applyBorder="1"/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2" fillId="0" borderId="0" xfId="0" applyFont="1" applyFill="1" applyAlignment="1"/>
    <xf numFmtId="166" fontId="1" fillId="0" borderId="0" xfId="1" applyNumberFormat="1" applyFont="1" applyFill="1"/>
    <xf numFmtId="166" fontId="1" fillId="0" borderId="1" xfId="1" applyNumberFormat="1" applyFont="1" applyFill="1" applyBorder="1" applyAlignment="1">
      <alignment vertical="top" wrapText="1"/>
    </xf>
    <xf numFmtId="0" fontId="23" fillId="0" borderId="7" xfId="0" applyFont="1" applyFill="1" applyBorder="1" applyAlignment="1">
      <alignment horizontal="center"/>
    </xf>
    <xf numFmtId="166" fontId="32" fillId="0" borderId="0" xfId="0" applyNumberFormat="1" applyFont="1" applyFill="1" applyAlignment="1"/>
    <xf numFmtId="166" fontId="12" fillId="0" borderId="0" xfId="1" applyNumberFormat="1" applyFont="1" applyFill="1" applyAlignment="1"/>
    <xf numFmtId="165" fontId="1" fillId="0" borderId="0" xfId="0" applyNumberFormat="1" applyFont="1" applyFill="1"/>
    <xf numFmtId="0" fontId="1" fillId="2" borderId="0" xfId="0" applyFont="1" applyFill="1"/>
    <xf numFmtId="166" fontId="1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4" fillId="0" borderId="6" xfId="0" applyFont="1" applyBorder="1" applyAlignment="1">
      <alignment horizontal="center"/>
    </xf>
    <xf numFmtId="0" fontId="32" fillId="0" borderId="1" xfId="0" applyNumberFormat="1" applyFont="1" applyBorder="1" applyAlignment="1">
      <alignment horizontal="center" vertical="center"/>
    </xf>
    <xf numFmtId="166" fontId="32" fillId="0" borderId="1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3" fontId="1" fillId="0" borderId="0" xfId="0" applyNumberFormat="1" applyFont="1"/>
    <xf numFmtId="166" fontId="33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1" fillId="0" borderId="0" xfId="1" applyFont="1"/>
    <xf numFmtId="167" fontId="1" fillId="0" borderId="0" xfId="1" applyNumberFormat="1" applyFont="1"/>
    <xf numFmtId="167" fontId="1" fillId="0" borderId="0" xfId="1" applyNumberFormat="1" applyFont="1" applyBorder="1"/>
    <xf numFmtId="165" fontId="1" fillId="0" borderId="0" xfId="1" applyFont="1" applyBorder="1"/>
    <xf numFmtId="0" fontId="21" fillId="0" borderId="0" xfId="0" applyFont="1"/>
    <xf numFmtId="166" fontId="38" fillId="0" borderId="0" xfId="1" applyNumberFormat="1" applyFont="1" applyFill="1" applyAlignment="1">
      <alignment horizontal="left"/>
    </xf>
    <xf numFmtId="165" fontId="21" fillId="0" borderId="0" xfId="1" applyFont="1" applyFill="1" applyAlignment="1">
      <alignment horizontal="center"/>
    </xf>
    <xf numFmtId="0" fontId="47" fillId="0" borderId="0" xfId="0" applyFont="1" applyBorder="1"/>
    <xf numFmtId="165" fontId="12" fillId="0" borderId="1" xfId="1" applyFont="1" applyBorder="1" applyAlignment="1">
      <alignment horizontal="center" vertical="center"/>
    </xf>
    <xf numFmtId="165" fontId="12" fillId="0" borderId="9" xfId="1" applyFont="1" applyBorder="1" applyAlignment="1">
      <alignment horizontal="center"/>
    </xf>
    <xf numFmtId="165" fontId="12" fillId="0" borderId="5" xfId="1" applyFont="1" applyBorder="1"/>
    <xf numFmtId="165" fontId="1" fillId="0" borderId="6" xfId="1" applyFont="1" applyBorder="1"/>
    <xf numFmtId="166" fontId="48" fillId="2" borderId="0" xfId="1" applyNumberFormat="1" applyFont="1" applyFill="1" applyBorder="1" applyAlignment="1">
      <alignment horizontal="right" vertical="center" wrapText="1"/>
    </xf>
    <xf numFmtId="0" fontId="41" fillId="2" borderId="0" xfId="0" applyFont="1" applyFill="1" applyBorder="1"/>
    <xf numFmtId="0" fontId="41" fillId="2" borderId="0" xfId="0" applyFont="1" applyFill="1"/>
    <xf numFmtId="0" fontId="25" fillId="2" borderId="1" xfId="0" applyFont="1" applyFill="1" applyBorder="1" applyAlignment="1">
      <alignment horizontal="center" vertical="center" wrapText="1"/>
    </xf>
    <xf numFmtId="166" fontId="48" fillId="2" borderId="1" xfId="1" applyNumberFormat="1" applyFont="1" applyFill="1" applyBorder="1" applyAlignment="1">
      <alignment horizontal="right" vertical="center" wrapText="1"/>
    </xf>
    <xf numFmtId="1" fontId="30" fillId="0" borderId="3" xfId="0" applyNumberFormat="1" applyFont="1" applyFill="1" applyBorder="1" applyAlignment="1">
      <alignment horizontal="center"/>
    </xf>
    <xf numFmtId="167" fontId="20" fillId="0" borderId="1" xfId="1" applyNumberFormat="1" applyFont="1" applyFill="1" applyBorder="1" applyAlignment="1">
      <alignment horizontal="center" vertical="center" wrapText="1"/>
    </xf>
    <xf numFmtId="166" fontId="20" fillId="0" borderId="1" xfId="1" applyNumberFormat="1" applyFont="1" applyFill="1" applyBorder="1" applyAlignment="1">
      <alignment vertical="center" wrapText="1"/>
    </xf>
    <xf numFmtId="0" fontId="19" fillId="2" borderId="0" xfId="0" applyFont="1" applyFill="1"/>
    <xf numFmtId="0" fontId="1" fillId="0" borderId="3" xfId="0" applyFont="1" applyFill="1" applyBorder="1" applyAlignment="1">
      <alignment horizontal="center"/>
    </xf>
    <xf numFmtId="166" fontId="45" fillId="0" borderId="3" xfId="1" applyNumberFormat="1" applyFont="1" applyFill="1" applyBorder="1"/>
    <xf numFmtId="166" fontId="32" fillId="0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/>
    <xf numFmtId="0" fontId="24" fillId="0" borderId="5" xfId="0" applyFont="1" applyBorder="1" applyAlignment="1">
      <alignment horizontal="center"/>
    </xf>
    <xf numFmtId="0" fontId="24" fillId="0" borderId="5" xfId="0" applyNumberFormat="1" applyFont="1" applyFill="1" applyBorder="1" applyAlignment="1">
      <alignment horizontal="left"/>
    </xf>
    <xf numFmtId="165" fontId="1" fillId="0" borderId="5" xfId="1" applyFont="1" applyBorder="1"/>
    <xf numFmtId="1" fontId="29" fillId="0" borderId="7" xfId="0" applyNumberFormat="1" applyFont="1" applyFill="1" applyBorder="1" applyAlignment="1">
      <alignment horizontal="center"/>
    </xf>
    <xf numFmtId="167" fontId="20" fillId="0" borderId="1" xfId="1" applyNumberFormat="1" applyFont="1" applyFill="1" applyBorder="1" applyAlignment="1">
      <alignment horizontal="center" vertical="center" wrapText="1"/>
    </xf>
    <xf numFmtId="0" fontId="32" fillId="0" borderId="0" xfId="0" applyNumberFormat="1" applyFont="1" applyAlignment="1">
      <alignment horizontal="center"/>
    </xf>
    <xf numFmtId="166" fontId="10" fillId="0" borderId="0" xfId="1" applyNumberFormat="1" applyFont="1" applyAlignment="1">
      <alignment horizontal="center"/>
    </xf>
    <xf numFmtId="167" fontId="32" fillId="0" borderId="1" xfId="1" applyNumberFormat="1" applyFont="1" applyFill="1" applyBorder="1" applyAlignment="1">
      <alignment horizontal="center" vertical="center" wrapText="1"/>
    </xf>
    <xf numFmtId="165" fontId="24" fillId="0" borderId="1" xfId="1" applyFont="1" applyFill="1" applyBorder="1" applyAlignment="1">
      <alignment horizontal="center" vertical="center" wrapText="1"/>
    </xf>
    <xf numFmtId="165" fontId="24" fillId="0" borderId="10" xfId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vertical="center" wrapText="1"/>
    </xf>
    <xf numFmtId="166" fontId="24" fillId="0" borderId="1" xfId="1" applyNumberFormat="1" applyFont="1" applyFill="1" applyBorder="1" applyAlignment="1">
      <alignment horizontal="center" vertical="center" wrapText="1"/>
    </xf>
    <xf numFmtId="166" fontId="32" fillId="0" borderId="0" xfId="1" applyNumberFormat="1" applyFont="1" applyAlignment="1"/>
    <xf numFmtId="166" fontId="12" fillId="0" borderId="0" xfId="1" applyNumberFormat="1" applyFont="1" applyAlignment="1"/>
    <xf numFmtId="167" fontId="32" fillId="0" borderId="1" xfId="1" applyNumberFormat="1" applyFont="1" applyBorder="1" applyAlignment="1">
      <alignment horizontal="center" vertical="center"/>
    </xf>
    <xf numFmtId="0" fontId="24" fillId="2" borderId="16" xfId="0" applyFont="1" applyFill="1" applyBorder="1" applyAlignment="1">
      <alignment horizontal="center"/>
    </xf>
    <xf numFmtId="0" fontId="24" fillId="2" borderId="5" xfId="0" applyNumberFormat="1" applyFont="1" applyFill="1" applyBorder="1" applyAlignment="1">
      <alignment horizontal="left"/>
    </xf>
    <xf numFmtId="165" fontId="1" fillId="2" borderId="16" xfId="1" applyFont="1" applyFill="1" applyBorder="1"/>
    <xf numFmtId="0" fontId="1" fillId="2" borderId="0" xfId="0" applyFont="1" applyFill="1" applyAlignment="1">
      <alignment horizontal="center"/>
    </xf>
    <xf numFmtId="166" fontId="45" fillId="2" borderId="3" xfId="1" applyNumberFormat="1" applyFont="1" applyFill="1" applyBorder="1"/>
    <xf numFmtId="166" fontId="1" fillId="2" borderId="0" xfId="0" applyNumberFormat="1" applyFont="1" applyFill="1"/>
    <xf numFmtId="0" fontId="19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166" fontId="24" fillId="2" borderId="1" xfId="0" applyNumberFormat="1" applyFont="1" applyFill="1" applyBorder="1"/>
    <xf numFmtId="0" fontId="24" fillId="2" borderId="1" xfId="1" applyNumberFormat="1" applyFont="1" applyFill="1" applyBorder="1"/>
    <xf numFmtId="167" fontId="24" fillId="2" borderId="1" xfId="1" applyNumberFormat="1" applyFont="1" applyFill="1" applyBorder="1"/>
    <xf numFmtId="165" fontId="24" fillId="2" borderId="1" xfId="1" applyFont="1" applyFill="1" applyBorder="1"/>
    <xf numFmtId="0" fontId="24" fillId="2" borderId="1" xfId="0" applyFont="1" applyFill="1" applyBorder="1"/>
    <xf numFmtId="0" fontId="24" fillId="2" borderId="0" xfId="0" applyFont="1" applyFill="1"/>
    <xf numFmtId="167" fontId="24" fillId="2" borderId="1" xfId="1" applyNumberFormat="1" applyFont="1" applyFill="1" applyBorder="1" applyAlignment="1"/>
    <xf numFmtId="0" fontId="24" fillId="2" borderId="1" xfId="0" applyFont="1" applyFill="1" applyBorder="1" applyAlignment="1"/>
    <xf numFmtId="0" fontId="38" fillId="0" borderId="1" xfId="0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67" fontId="38" fillId="0" borderId="1" xfId="1" applyNumberFormat="1" applyFont="1" applyFill="1" applyBorder="1" applyAlignment="1">
      <alignment horizontal="center" vertical="center" wrapText="1"/>
    </xf>
    <xf numFmtId="166" fontId="27" fillId="2" borderId="1" xfId="0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 vertical="center"/>
    </xf>
    <xf numFmtId="166" fontId="24" fillId="2" borderId="1" xfId="0" applyNumberFormat="1" applyFont="1" applyFill="1" applyBorder="1" applyAlignment="1">
      <alignment horizontal="left"/>
    </xf>
    <xf numFmtId="167" fontId="24" fillId="2" borderId="1" xfId="1" applyNumberFormat="1" applyFont="1" applyFill="1" applyBorder="1" applyAlignment="1">
      <alignment horizontal="right" vertical="center" wrapText="1"/>
    </xf>
    <xf numFmtId="0" fontId="2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/>
    <xf numFmtId="166" fontId="19" fillId="0" borderId="1" xfId="1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Alignment="1"/>
    <xf numFmtId="0" fontId="24" fillId="0" borderId="0" xfId="0" applyFont="1" applyFill="1" applyAlignment="1"/>
    <xf numFmtId="166" fontId="33" fillId="2" borderId="1" xfId="1" applyNumberFormat="1" applyFont="1" applyFill="1" applyBorder="1" applyAlignment="1">
      <alignment horizontal="center" vertical="center" wrapText="1"/>
    </xf>
    <xf numFmtId="166" fontId="19" fillId="0" borderId="10" xfId="1" applyNumberFormat="1" applyFont="1" applyFill="1" applyBorder="1" applyAlignment="1">
      <alignment horizontal="center" vertical="center" wrapText="1"/>
    </xf>
    <xf numFmtId="166" fontId="19" fillId="0" borderId="10" xfId="1" applyNumberFormat="1" applyFont="1" applyFill="1" applyBorder="1" applyAlignment="1">
      <alignment vertical="center" wrapText="1"/>
    </xf>
    <xf numFmtId="0" fontId="46" fillId="0" borderId="1" xfId="0" applyNumberFormat="1" applyFont="1" applyBorder="1" applyAlignment="1">
      <alignment horizontal="center"/>
    </xf>
    <xf numFmtId="0" fontId="55" fillId="0" borderId="0" xfId="0" applyFont="1"/>
    <xf numFmtId="165" fontId="24" fillId="0" borderId="0" xfId="1" applyFont="1"/>
    <xf numFmtId="0" fontId="2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65" fillId="0" borderId="0" xfId="1" applyFont="1"/>
    <xf numFmtId="0" fontId="20" fillId="0" borderId="0" xfId="0" applyFont="1" applyBorder="1" applyAlignment="1">
      <alignment horizontal="center" vertical="center" wrapText="1"/>
    </xf>
    <xf numFmtId="0" fontId="16" fillId="0" borderId="0" xfId="6" applyFont="1" applyAlignment="1"/>
    <xf numFmtId="0" fontId="1" fillId="0" borderId="0" xfId="6" applyFont="1"/>
    <xf numFmtId="0" fontId="7" fillId="0" borderId="0" xfId="0" applyFont="1" applyAlignment="1">
      <alignment horizontal="center"/>
    </xf>
    <xf numFmtId="0" fontId="16" fillId="0" borderId="0" xfId="6" applyFont="1" applyAlignment="1">
      <alignment horizontal="right"/>
    </xf>
    <xf numFmtId="0" fontId="16" fillId="0" borderId="0" xfId="6" applyFont="1" applyAlignment="1">
      <alignment horizontal="center"/>
    </xf>
    <xf numFmtId="0" fontId="1" fillId="0" borderId="0" xfId="6" applyFont="1" applyAlignment="1">
      <alignment horizontal="right"/>
    </xf>
    <xf numFmtId="0" fontId="20" fillId="0" borderId="1" xfId="6" applyFont="1" applyBorder="1" applyAlignment="1">
      <alignment horizontal="right" vertical="center" wrapText="1"/>
    </xf>
    <xf numFmtId="0" fontId="20" fillId="0" borderId="1" xfId="6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1" xfId="6" applyFont="1" applyBorder="1" applyAlignment="1">
      <alignment horizontal="right"/>
    </xf>
    <xf numFmtId="0" fontId="31" fillId="0" borderId="1" xfId="6" applyNumberFormat="1" applyFont="1" applyBorder="1" applyAlignment="1">
      <alignment horizontal="center"/>
    </xf>
    <xf numFmtId="166" fontId="56" fillId="0" borderId="1" xfId="1" applyNumberFormat="1" applyFont="1" applyBorder="1" applyAlignment="1">
      <alignment horizontal="center"/>
    </xf>
    <xf numFmtId="165" fontId="56" fillId="0" borderId="1" xfId="1" applyFont="1" applyBorder="1" applyAlignment="1">
      <alignment horizontal="center"/>
    </xf>
    <xf numFmtId="166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21" fillId="0" borderId="1" xfId="1" applyNumberFormat="1" applyFont="1" applyBorder="1" applyAlignment="1">
      <alignment horizontal="center"/>
    </xf>
    <xf numFmtId="0" fontId="31" fillId="0" borderId="0" xfId="0" applyFont="1" applyBorder="1"/>
    <xf numFmtId="167" fontId="32" fillId="0" borderId="0" xfId="1" applyNumberFormat="1" applyFont="1" applyBorder="1"/>
    <xf numFmtId="167" fontId="72" fillId="0" borderId="0" xfId="1" applyNumberFormat="1" applyFont="1" applyBorder="1"/>
    <xf numFmtId="0" fontId="73" fillId="0" borderId="1" xfId="6" applyFont="1" applyBorder="1" applyAlignment="1">
      <alignment horizontal="right"/>
    </xf>
    <xf numFmtId="0" fontId="73" fillId="0" borderId="1" xfId="6" applyNumberFormat="1" applyFont="1" applyBorder="1"/>
    <xf numFmtId="0" fontId="74" fillId="0" borderId="1" xfId="6" applyFont="1" applyBorder="1" applyAlignment="1">
      <alignment horizontal="center"/>
    </xf>
    <xf numFmtId="165" fontId="74" fillId="0" borderId="1" xfId="1" applyNumberFormat="1" applyFont="1" applyBorder="1" applyAlignment="1">
      <alignment horizontal="right"/>
    </xf>
    <xf numFmtId="165" fontId="74" fillId="0" borderId="1" xfId="1" applyFont="1" applyBorder="1" applyAlignment="1">
      <alignment horizontal="right"/>
    </xf>
    <xf numFmtId="166" fontId="74" fillId="0" borderId="1" xfId="0" applyNumberFormat="1" applyFont="1" applyBorder="1" applyAlignment="1">
      <alignment horizontal="right"/>
    </xf>
    <xf numFmtId="167" fontId="75" fillId="0" borderId="0" xfId="1" applyNumberFormat="1" applyFont="1" applyBorder="1"/>
    <xf numFmtId="0" fontId="47" fillId="0" borderId="0" xfId="0" applyFont="1"/>
    <xf numFmtId="0" fontId="22" fillId="0" borderId="1" xfId="6" applyFont="1" applyBorder="1" applyAlignment="1">
      <alignment horizontal="right"/>
    </xf>
    <xf numFmtId="167" fontId="76" fillId="0" borderId="1" xfId="1" applyNumberFormat="1" applyFont="1" applyBorder="1" applyAlignment="1">
      <alignment horizontal="center"/>
    </xf>
    <xf numFmtId="165" fontId="76" fillId="0" borderId="1" xfId="1" applyFont="1" applyBorder="1" applyAlignment="1">
      <alignment horizontal="center"/>
    </xf>
    <xf numFmtId="0" fontId="36" fillId="0" borderId="0" xfId="0" applyFont="1" applyBorder="1"/>
    <xf numFmtId="167" fontId="27" fillId="0" borderId="0" xfId="1" applyNumberFormat="1" applyFont="1" applyBorder="1"/>
    <xf numFmtId="0" fontId="6" fillId="0" borderId="0" xfId="0" applyFont="1" applyBorder="1"/>
    <xf numFmtId="0" fontId="6" fillId="0" borderId="0" xfId="0" applyFont="1"/>
    <xf numFmtId="0" fontId="77" fillId="0" borderId="1" xfId="6" applyFont="1" applyBorder="1" applyAlignment="1">
      <alignment horizontal="center"/>
    </xf>
    <xf numFmtId="0" fontId="73" fillId="0" borderId="1" xfId="6" applyNumberFormat="1" applyFont="1" applyBorder="1" applyAlignment="1">
      <alignment horizontal="left"/>
    </xf>
    <xf numFmtId="167" fontId="74" fillId="0" borderId="1" xfId="1" applyNumberFormat="1" applyFont="1" applyBorder="1" applyAlignment="1">
      <alignment horizontal="center"/>
    </xf>
    <xf numFmtId="165" fontId="78" fillId="0" borderId="1" xfId="1" applyFont="1" applyBorder="1" applyAlignment="1">
      <alignment horizontal="center"/>
    </xf>
    <xf numFmtId="167" fontId="74" fillId="0" borderId="1" xfId="1" applyNumberFormat="1" applyFont="1" applyBorder="1" applyAlignment="1">
      <alignment horizontal="right"/>
    </xf>
    <xf numFmtId="0" fontId="79" fillId="0" borderId="0" xfId="0" applyFont="1" applyBorder="1"/>
    <xf numFmtId="0" fontId="3" fillId="0" borderId="0" xfId="0" applyFont="1" applyBorder="1"/>
    <xf numFmtId="0" fontId="3" fillId="0" borderId="0" xfId="0" applyFont="1"/>
    <xf numFmtId="0" fontId="73" fillId="0" borderId="1" xfId="6" applyFont="1" applyBorder="1" applyAlignment="1">
      <alignment horizontal="center" vertical="center"/>
    </xf>
    <xf numFmtId="0" fontId="73" fillId="0" borderId="1" xfId="6" applyNumberFormat="1" applyFont="1" applyFill="1" applyBorder="1" applyAlignment="1">
      <alignment vertical="center" wrapText="1"/>
    </xf>
    <xf numFmtId="0" fontId="74" fillId="0" borderId="1" xfId="6" applyFont="1" applyBorder="1" applyAlignment="1">
      <alignment horizontal="center" vertical="center"/>
    </xf>
    <xf numFmtId="165" fontId="74" fillId="0" borderId="1" xfId="1" applyNumberFormat="1" applyFont="1" applyBorder="1" applyAlignment="1">
      <alignment horizontal="right" vertical="center"/>
    </xf>
    <xf numFmtId="167" fontId="74" fillId="0" borderId="1" xfId="1" applyNumberFormat="1" applyFont="1" applyBorder="1" applyAlignment="1">
      <alignment horizontal="right" vertical="center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21" fillId="0" borderId="1" xfId="6" applyFont="1" applyBorder="1" applyAlignment="1">
      <alignment horizontal="right" vertical="center"/>
    </xf>
    <xf numFmtId="0" fontId="21" fillId="0" borderId="1" xfId="6" applyNumberFormat="1" applyFont="1" applyBorder="1" applyAlignment="1">
      <alignment horizontal="center" vertical="center" wrapText="1"/>
    </xf>
    <xf numFmtId="0" fontId="76" fillId="0" borderId="1" xfId="6" applyFont="1" applyBorder="1" applyAlignment="1">
      <alignment horizontal="center" vertical="center"/>
    </xf>
    <xf numFmtId="165" fontId="76" fillId="0" borderId="1" xfId="1" applyNumberFormat="1" applyFont="1" applyBorder="1" applyAlignment="1">
      <alignment horizontal="right" vertical="center"/>
    </xf>
    <xf numFmtId="167" fontId="76" fillId="0" borderId="1" xfId="1" applyNumberFormat="1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8" fillId="0" borderId="0" xfId="0" applyNumberFormat="1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69" fillId="0" borderId="0" xfId="0" applyFont="1" applyAlignment="1">
      <alignment vertical="center"/>
    </xf>
    <xf numFmtId="0" fontId="73" fillId="0" borderId="1" xfId="6" applyNumberFormat="1" applyFont="1" applyBorder="1" applyAlignment="1">
      <alignment horizontal="left" vertical="center" wrapText="1"/>
    </xf>
    <xf numFmtId="0" fontId="1" fillId="0" borderId="1" xfId="0" applyFont="1" applyBorder="1"/>
    <xf numFmtId="0" fontId="12" fillId="0" borderId="1" xfId="0" applyFont="1" applyBorder="1"/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" fillId="0" borderId="0" xfId="6" applyFont="1" applyBorder="1" applyAlignment="1">
      <alignment horizontal="right"/>
    </xf>
    <xf numFmtId="0" fontId="1" fillId="0" borderId="0" xfId="6" applyFont="1" applyBorder="1"/>
    <xf numFmtId="0" fontId="13" fillId="0" borderId="0" xfId="6" applyFont="1" applyBorder="1" applyAlignment="1">
      <alignment horizontal="center"/>
    </xf>
    <xf numFmtId="0" fontId="10" fillId="0" borderId="0" xfId="6" applyFont="1" applyBorder="1" applyAlignment="1">
      <alignment horizontal="center" vertical="center" wrapText="1"/>
    </xf>
    <xf numFmtId="0" fontId="20" fillId="0" borderId="0" xfId="6" applyFont="1" applyBorder="1" applyAlignment="1">
      <alignment horizontal="right" vertical="center" wrapText="1"/>
    </xf>
    <xf numFmtId="0" fontId="20" fillId="0" borderId="0" xfId="6" applyFont="1" applyBorder="1" applyAlignment="1">
      <alignment horizontal="center" vertical="center" wrapText="1"/>
    </xf>
    <xf numFmtId="0" fontId="11" fillId="0" borderId="0" xfId="6" applyFont="1" applyBorder="1" applyAlignment="1">
      <alignment horizontal="right"/>
    </xf>
    <xf numFmtId="0" fontId="31" fillId="0" borderId="0" xfId="6" applyNumberFormat="1" applyFont="1" applyBorder="1" applyAlignment="1">
      <alignment horizontal="center"/>
    </xf>
    <xf numFmtId="166" fontId="11" fillId="0" borderId="0" xfId="1" applyNumberFormat="1" applyFont="1" applyBorder="1" applyAlignment="1"/>
    <xf numFmtId="166" fontId="22" fillId="0" borderId="0" xfId="1" applyNumberFormat="1" applyFont="1" applyBorder="1" applyAlignment="1">
      <alignment horizontal="right"/>
    </xf>
    <xf numFmtId="0" fontId="21" fillId="0" borderId="0" xfId="1" applyNumberFormat="1" applyFont="1" applyBorder="1" applyAlignment="1">
      <alignment horizontal="center"/>
    </xf>
    <xf numFmtId="166" fontId="22" fillId="0" borderId="0" xfId="1" applyNumberFormat="1" applyFont="1" applyBorder="1" applyAlignment="1"/>
    <xf numFmtId="165" fontId="22" fillId="0" borderId="0" xfId="1" applyFont="1" applyBorder="1"/>
    <xf numFmtId="166" fontId="22" fillId="0" borderId="0" xfId="1" applyNumberFormat="1" applyFont="1" applyBorder="1"/>
    <xf numFmtId="0" fontId="20" fillId="0" borderId="0" xfId="6" applyFont="1" applyBorder="1" applyAlignment="1">
      <alignment horizontal="right"/>
    </xf>
    <xf numFmtId="0" fontId="20" fillId="0" borderId="0" xfId="6" applyNumberFormat="1" applyFont="1" applyBorder="1"/>
    <xf numFmtId="0" fontId="10" fillId="0" borderId="0" xfId="6" applyFont="1" applyBorder="1" applyAlignment="1">
      <alignment horizontal="center"/>
    </xf>
    <xf numFmtId="165" fontId="10" fillId="0" borderId="0" xfId="6" applyNumberFormat="1" applyFont="1" applyBorder="1"/>
    <xf numFmtId="0" fontId="10" fillId="0" borderId="0" xfId="6" applyFont="1" applyBorder="1"/>
    <xf numFmtId="165" fontId="10" fillId="0" borderId="0" xfId="1" applyFont="1" applyBorder="1"/>
    <xf numFmtId="2" fontId="10" fillId="0" borderId="0" xfId="6" applyNumberFormat="1" applyFont="1" applyBorder="1"/>
    <xf numFmtId="166" fontId="10" fillId="0" borderId="0" xfId="1" applyNumberFormat="1" applyFont="1" applyBorder="1"/>
    <xf numFmtId="166" fontId="10" fillId="0" borderId="0" xfId="0" applyNumberFormat="1" applyFont="1" applyBorder="1"/>
    <xf numFmtId="0" fontId="22" fillId="0" borderId="0" xfId="6" applyFont="1" applyBorder="1" applyAlignment="1">
      <alignment horizontal="right"/>
    </xf>
    <xf numFmtId="0" fontId="21" fillId="0" borderId="0" xfId="6" applyNumberFormat="1" applyFont="1" applyBorder="1" applyAlignment="1">
      <alignment horizontal="center"/>
    </xf>
    <xf numFmtId="0" fontId="22" fillId="0" borderId="0" xfId="6" applyFont="1" applyBorder="1" applyAlignment="1"/>
    <xf numFmtId="0" fontId="22" fillId="0" borderId="0" xfId="6" applyFont="1" applyBorder="1"/>
    <xf numFmtId="0" fontId="20" fillId="0" borderId="0" xfId="6" applyNumberFormat="1" applyFont="1" applyBorder="1" applyAlignment="1">
      <alignment vertical="center" wrapText="1"/>
    </xf>
    <xf numFmtId="0" fontId="24" fillId="0" borderId="11" xfId="0" applyNumberFormat="1" applyFont="1" applyBorder="1" applyAlignment="1"/>
    <xf numFmtId="0" fontId="1" fillId="0" borderId="0" xfId="0" applyFont="1" applyAlignment="1"/>
    <xf numFmtId="166" fontId="22" fillId="0" borderId="0" xfId="1" applyNumberFormat="1" applyFont="1" applyBorder="1" applyAlignment="1">
      <alignment horizontal="center"/>
    </xf>
    <xf numFmtId="0" fontId="20" fillId="0" borderId="0" xfId="6" applyFont="1" applyFill="1" applyBorder="1" applyAlignment="1">
      <alignment horizontal="right"/>
    </xf>
    <xf numFmtId="0" fontId="24" fillId="0" borderId="0" xfId="0" applyNumberFormat="1" applyFont="1" applyBorder="1"/>
    <xf numFmtId="0" fontId="12" fillId="0" borderId="0" xfId="0" applyFont="1" applyBorder="1"/>
    <xf numFmtId="0" fontId="11" fillId="0" borderId="0" xfId="6" applyFont="1" applyBorder="1" applyAlignment="1">
      <alignment horizontal="right" vertical="center" wrapText="1"/>
    </xf>
    <xf numFmtId="0" fontId="21" fillId="0" borderId="0" xfId="6" applyNumberFormat="1" applyFont="1" applyBorder="1" applyAlignment="1">
      <alignment horizontal="center" vertical="center" wrapText="1"/>
    </xf>
    <xf numFmtId="166" fontId="22" fillId="0" borderId="0" xfId="1" applyNumberFormat="1" applyFont="1" applyBorder="1" applyAlignment="1">
      <alignment vertical="center" wrapText="1"/>
    </xf>
    <xf numFmtId="165" fontId="22" fillId="0" borderId="0" xfId="1" applyFont="1" applyBorder="1" applyAlignment="1">
      <alignment horizontal="center"/>
    </xf>
    <xf numFmtId="0" fontId="21" fillId="0" borderId="0" xfId="6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1" xfId="0" applyFont="1" applyBorder="1" applyAlignment="1">
      <alignment horizontal="center"/>
    </xf>
    <xf numFmtId="172" fontId="20" fillId="0" borderId="1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0" xfId="0" applyFont="1"/>
    <xf numFmtId="0" fontId="26" fillId="0" borderId="9" xfId="0" applyFont="1" applyBorder="1" applyAlignment="1">
      <alignment horizontal="center" vertical="center" wrapText="1"/>
    </xf>
    <xf numFmtId="3" fontId="80" fillId="0" borderId="9" xfId="0" applyNumberFormat="1" applyFont="1" applyBorder="1" applyAlignment="1">
      <alignment horizontal="right" vertical="center" wrapText="1"/>
    </xf>
    <xf numFmtId="165" fontId="80" fillId="0" borderId="9" xfId="1" applyFont="1" applyBorder="1" applyAlignment="1">
      <alignment horizontal="right" vertical="center" wrapText="1"/>
    </xf>
    <xf numFmtId="0" fontId="26" fillId="0" borderId="0" xfId="0" applyFont="1"/>
    <xf numFmtId="3" fontId="26" fillId="0" borderId="0" xfId="0" applyNumberFormat="1" applyFont="1"/>
    <xf numFmtId="0" fontId="26" fillId="0" borderId="5" xfId="0" applyFont="1" applyBorder="1" applyAlignment="1">
      <alignment horizontal="center" vertical="center" wrapText="1"/>
    </xf>
    <xf numFmtId="3" fontId="54" fillId="0" borderId="5" xfId="0" applyNumberFormat="1" applyFont="1" applyBorder="1" applyAlignment="1">
      <alignment horizontal="right" vertical="center" wrapText="1"/>
    </xf>
    <xf numFmtId="165" fontId="54" fillId="0" borderId="5" xfId="1" applyFont="1" applyBorder="1" applyAlignment="1">
      <alignment horizontal="right" vertical="center" wrapText="1"/>
    </xf>
    <xf numFmtId="167" fontId="26" fillId="0" borderId="0" xfId="1" applyNumberFormat="1" applyFont="1"/>
    <xf numFmtId="0" fontId="29" fillId="0" borderId="5" xfId="0" applyFont="1" applyBorder="1" applyAlignment="1">
      <alignment horizontal="center" vertical="center" wrapText="1"/>
    </xf>
    <xf numFmtId="3" fontId="81" fillId="0" borderId="5" xfId="0" applyNumberFormat="1" applyFont="1" applyBorder="1" applyAlignment="1">
      <alignment horizontal="right" vertical="center" wrapText="1"/>
    </xf>
    <xf numFmtId="165" fontId="81" fillId="0" borderId="5" xfId="1" applyFont="1" applyBorder="1" applyAlignment="1">
      <alignment horizontal="right" vertical="center" wrapText="1"/>
    </xf>
    <xf numFmtId="0" fontId="30" fillId="0" borderId="0" xfId="0" applyFont="1"/>
    <xf numFmtId="1" fontId="28" fillId="0" borderId="5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left" vertical="center" wrapText="1"/>
    </xf>
    <xf numFmtId="167" fontId="54" fillId="0" borderId="5" xfId="1" applyNumberFormat="1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1" fontId="39" fillId="0" borderId="5" xfId="0" applyNumberFormat="1" applyFont="1" applyBorder="1" applyAlignment="1">
      <alignment horizontal="center" vertical="center" wrapText="1"/>
    </xf>
    <xf numFmtId="0" fontId="30" fillId="0" borderId="5" xfId="0" applyNumberFormat="1" applyFont="1" applyBorder="1" applyAlignment="1">
      <alignment horizontal="center" vertical="center" wrapText="1"/>
    </xf>
    <xf numFmtId="167" fontId="54" fillId="0" borderId="5" xfId="0" applyNumberFormat="1" applyFont="1" applyBorder="1" applyAlignment="1">
      <alignment horizontal="right" vertical="center" wrapText="1"/>
    </xf>
    <xf numFmtId="0" fontId="82" fillId="0" borderId="5" xfId="0" applyFont="1" applyBorder="1" applyAlignment="1">
      <alignment horizontal="center" vertical="center" wrapText="1"/>
    </xf>
    <xf numFmtId="0" fontId="82" fillId="0" borderId="5" xfId="0" applyFont="1" applyBorder="1" applyAlignment="1">
      <alignment horizontal="left" vertical="center" wrapText="1"/>
    </xf>
    <xf numFmtId="3" fontId="83" fillId="0" borderId="5" xfId="0" applyNumberFormat="1" applyFont="1" applyBorder="1" applyAlignment="1">
      <alignment horizontal="right" vertical="center" wrapText="1"/>
    </xf>
    <xf numFmtId="166" fontId="83" fillId="0" borderId="5" xfId="1" applyNumberFormat="1" applyFont="1" applyBorder="1" applyAlignment="1">
      <alignment horizontal="right" vertical="center"/>
    </xf>
    <xf numFmtId="165" fontId="83" fillId="0" borderId="5" xfId="1" applyFont="1" applyBorder="1" applyAlignment="1">
      <alignment horizontal="right" vertical="center" wrapText="1"/>
    </xf>
    <xf numFmtId="165" fontId="83" fillId="0" borderId="5" xfId="1" applyFont="1" applyBorder="1" applyAlignment="1">
      <alignment horizontal="right" vertical="center"/>
    </xf>
    <xf numFmtId="167" fontId="83" fillId="0" borderId="5" xfId="1" applyNumberFormat="1" applyFont="1" applyBorder="1" applyAlignment="1">
      <alignment horizontal="right" vertical="center" wrapText="1"/>
    </xf>
    <xf numFmtId="0" fontId="28" fillId="0" borderId="0" xfId="0" applyFont="1"/>
    <xf numFmtId="0" fontId="82" fillId="0" borderId="5" xfId="4" applyFont="1" applyBorder="1" applyAlignment="1">
      <alignment horizontal="center" vertical="center" wrapText="1"/>
    </xf>
    <xf numFmtId="3" fontId="83" fillId="0" borderId="5" xfId="4" applyNumberFormat="1" applyFont="1" applyBorder="1" applyAlignment="1">
      <alignment horizontal="right" vertical="center" wrapText="1"/>
    </xf>
    <xf numFmtId="1" fontId="57" fillId="0" borderId="5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166" fontId="54" fillId="0" borderId="5" xfId="1" applyNumberFormat="1" applyFont="1" applyBorder="1" applyAlignment="1">
      <alignment horizontal="right" vertical="center"/>
    </xf>
    <xf numFmtId="165" fontId="54" fillId="0" borderId="5" xfId="1" applyFont="1" applyBorder="1" applyAlignment="1">
      <alignment horizontal="right" vertical="center"/>
    </xf>
    <xf numFmtId="167" fontId="54" fillId="0" borderId="5" xfId="1" applyNumberFormat="1" applyFont="1" applyBorder="1" applyAlignment="1">
      <alignment horizontal="right" vertical="center"/>
    </xf>
    <xf numFmtId="0" fontId="28" fillId="0" borderId="5" xfId="0" applyFont="1" applyBorder="1"/>
    <xf numFmtId="3" fontId="28" fillId="0" borderId="5" xfId="0" applyNumberFormat="1" applyFont="1" applyBorder="1" applyAlignment="1">
      <alignment horizontal="right"/>
    </xf>
    <xf numFmtId="165" fontId="28" fillId="0" borderId="5" xfId="1" applyFont="1" applyBorder="1" applyAlignment="1">
      <alignment horizontal="right"/>
    </xf>
    <xf numFmtId="0" fontId="24" fillId="0" borderId="5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right" vertical="center"/>
    </xf>
    <xf numFmtId="165" fontId="24" fillId="0" borderId="5" xfId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NumberFormat="1" applyFont="1" applyBorder="1" applyAlignment="1">
      <alignment horizontal="left" vertical="center" wrapText="1"/>
    </xf>
    <xf numFmtId="3" fontId="54" fillId="0" borderId="6" xfId="0" applyNumberFormat="1" applyFont="1" applyBorder="1" applyAlignment="1">
      <alignment horizontal="right" vertical="center" wrapText="1"/>
    </xf>
    <xf numFmtId="166" fontId="54" fillId="0" borderId="6" xfId="1" applyNumberFormat="1" applyFont="1" applyBorder="1" applyAlignment="1">
      <alignment horizontal="right" vertical="center"/>
    </xf>
    <xf numFmtId="165" fontId="54" fillId="0" borderId="6" xfId="1" applyFont="1" applyBorder="1" applyAlignment="1">
      <alignment horizontal="right" vertical="center"/>
    </xf>
    <xf numFmtId="167" fontId="54" fillId="0" borderId="6" xfId="1" applyNumberFormat="1" applyFont="1" applyBorder="1" applyAlignment="1">
      <alignment horizontal="right" vertical="center"/>
    </xf>
    <xf numFmtId="0" fontId="32" fillId="0" borderId="0" xfId="7" applyFont="1" applyBorder="1" applyAlignment="1"/>
    <xf numFmtId="0" fontId="26" fillId="0" borderId="0" xfId="0" applyFont="1" applyBorder="1" applyAlignment="1">
      <alignment wrapText="1"/>
    </xf>
    <xf numFmtId="0" fontId="26" fillId="0" borderId="0" xfId="0" applyFont="1" applyBorder="1" applyAlignment="1"/>
    <xf numFmtId="0" fontId="27" fillId="0" borderId="0" xfId="0" applyFont="1" applyBorder="1" applyAlignment="1"/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/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172" fontId="20" fillId="0" borderId="0" xfId="0" applyNumberFormat="1" applyFont="1" applyBorder="1" applyAlignment="1">
      <alignment horizontal="center"/>
    </xf>
    <xf numFmtId="0" fontId="46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3" fontId="80" fillId="0" borderId="0" xfId="0" applyNumberFormat="1" applyFont="1" applyBorder="1" applyAlignment="1">
      <alignment horizontal="right" vertical="center" wrapText="1"/>
    </xf>
    <xf numFmtId="3" fontId="54" fillId="0" borderId="0" xfId="0" applyNumberFormat="1" applyFont="1" applyBorder="1" applyAlignment="1">
      <alignment horizontal="right" vertical="center" wrapText="1"/>
    </xf>
    <xf numFmtId="167" fontId="54" fillId="0" borderId="0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3" fontId="81" fillId="0" borderId="0" xfId="0" applyNumberFormat="1" applyFont="1" applyBorder="1" applyAlignment="1">
      <alignment horizontal="right" vertical="center" wrapText="1"/>
    </xf>
    <xf numFmtId="167" fontId="81" fillId="0" borderId="0" xfId="0" applyNumberFormat="1" applyFont="1" applyBorder="1" applyAlignment="1">
      <alignment horizontal="right" vertical="center" wrapText="1"/>
    </xf>
    <xf numFmtId="1" fontId="28" fillId="0" borderId="0" xfId="0" applyNumberFormat="1" applyFont="1" applyBorder="1" applyAlignment="1">
      <alignment horizontal="center" vertical="center" wrapText="1"/>
    </xf>
    <xf numFmtId="0" fontId="28" fillId="0" borderId="0" xfId="0" applyNumberFormat="1" applyFont="1" applyBorder="1" applyAlignment="1">
      <alignment horizontal="left" vertical="center" wrapText="1"/>
    </xf>
    <xf numFmtId="167" fontId="54" fillId="0" borderId="0" xfId="1" applyNumberFormat="1" applyFont="1" applyBorder="1" applyAlignment="1">
      <alignment horizontal="right" vertical="center" wrapText="1"/>
    </xf>
    <xf numFmtId="165" fontId="54" fillId="0" borderId="0" xfId="1" applyFont="1" applyBorder="1" applyAlignment="1">
      <alignment horizontal="right" vertical="center" wrapText="1"/>
    </xf>
    <xf numFmtId="3" fontId="28" fillId="0" borderId="0" xfId="0" applyNumberFormat="1" applyFont="1" applyBorder="1" applyAlignment="1">
      <alignment horizontal="right" vertical="center" wrapText="1"/>
    </xf>
    <xf numFmtId="167" fontId="28" fillId="0" borderId="0" xfId="1" applyNumberFormat="1" applyFont="1" applyBorder="1" applyAlignment="1">
      <alignment horizontal="right" vertical="center" wrapText="1"/>
    </xf>
    <xf numFmtId="165" fontId="28" fillId="0" borderId="0" xfId="1" applyFont="1" applyBorder="1" applyAlignment="1">
      <alignment horizontal="right" vertical="center" wrapText="1"/>
    </xf>
    <xf numFmtId="167" fontId="28" fillId="0" borderId="0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166" fontId="28" fillId="0" borderId="0" xfId="1" applyNumberFormat="1" applyFont="1" applyBorder="1" applyAlignment="1">
      <alignment horizontal="right" vertical="center"/>
    </xf>
    <xf numFmtId="165" fontId="28" fillId="0" borderId="0" xfId="1" applyFont="1" applyBorder="1" applyAlignment="1">
      <alignment horizontal="right" vertical="center"/>
    </xf>
    <xf numFmtId="0" fontId="28" fillId="0" borderId="0" xfId="4" applyFont="1" applyBorder="1" applyAlignment="1">
      <alignment horizontal="center" vertical="center" wrapText="1"/>
    </xf>
    <xf numFmtId="3" fontId="28" fillId="0" borderId="0" xfId="4" applyNumberFormat="1" applyFont="1" applyBorder="1" applyAlignment="1">
      <alignment horizontal="right" vertical="center" wrapText="1"/>
    </xf>
    <xf numFmtId="1" fontId="28" fillId="0" borderId="0" xfId="4" applyNumberFormat="1" applyFont="1" applyBorder="1" applyAlignment="1">
      <alignment horizontal="center" vertical="center" wrapText="1"/>
    </xf>
    <xf numFmtId="167" fontId="28" fillId="0" borderId="0" xfId="4" applyNumberFormat="1" applyFont="1" applyBorder="1" applyAlignment="1">
      <alignment horizontal="right" vertical="center" wrapText="1"/>
    </xf>
    <xf numFmtId="167" fontId="28" fillId="0" borderId="0" xfId="1" applyNumberFormat="1" applyFont="1" applyBorder="1" applyAlignment="1">
      <alignment horizontal="right" vertical="center"/>
    </xf>
    <xf numFmtId="0" fontId="28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/>
    </xf>
    <xf numFmtId="0" fontId="26" fillId="0" borderId="0" xfId="0" applyFont="1" applyAlignment="1">
      <alignment wrapText="1"/>
    </xf>
    <xf numFmtId="0" fontId="26" fillId="0" borderId="0" xfId="0" applyFont="1" applyAlignment="1"/>
    <xf numFmtId="166" fontId="24" fillId="0" borderId="1" xfId="1" applyNumberFormat="1" applyFont="1" applyFill="1" applyBorder="1" applyAlignment="1">
      <alignment horizontal="center" vertical="center" wrapText="1"/>
    </xf>
    <xf numFmtId="165" fontId="24" fillId="0" borderId="1" xfId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vertical="center" wrapText="1"/>
    </xf>
    <xf numFmtId="165" fontId="21" fillId="0" borderId="0" xfId="1" applyFont="1" applyFill="1" applyAlignment="1">
      <alignment horizontal="center"/>
    </xf>
    <xf numFmtId="0" fontId="0" fillId="0" borderId="0" xfId="0"/>
    <xf numFmtId="0" fontId="0" fillId="0" borderId="0" xfId="0"/>
    <xf numFmtId="0" fontId="32" fillId="0" borderId="0" xfId="6" applyFont="1" applyAlignment="1"/>
    <xf numFmtId="0" fontId="32" fillId="0" borderId="0" xfId="10" applyFont="1" applyAlignment="1">
      <alignment horizontal="center"/>
    </xf>
    <xf numFmtId="0" fontId="22" fillId="0" borderId="0" xfId="10" applyFont="1"/>
    <xf numFmtId="0" fontId="1" fillId="0" borderId="0" xfId="10"/>
    <xf numFmtId="0" fontId="32" fillId="0" borderId="0" xfId="10" applyFont="1" applyAlignment="1"/>
    <xf numFmtId="0" fontId="24" fillId="0" borderId="0" xfId="10" applyFont="1"/>
    <xf numFmtId="0" fontId="27" fillId="0" borderId="0" xfId="10" applyFont="1" applyAlignment="1"/>
    <xf numFmtId="0" fontId="1" fillId="0" borderId="0" xfId="10" applyFont="1" applyBorder="1" applyAlignment="1"/>
    <xf numFmtId="0" fontId="32" fillId="0" borderId="10" xfId="10" applyFont="1" applyBorder="1" applyAlignment="1">
      <alignment horizontal="center"/>
    </xf>
    <xf numFmtId="0" fontId="32" fillId="0" borderId="8" xfId="10" applyFont="1" applyFill="1" applyBorder="1" applyAlignment="1">
      <alignment horizontal="center"/>
    </xf>
    <xf numFmtId="0" fontId="12" fillId="0" borderId="0" xfId="10" applyFont="1"/>
    <xf numFmtId="0" fontId="24" fillId="0" borderId="1" xfId="10" applyFont="1" applyBorder="1" applyAlignment="1">
      <alignment horizontal="center" vertical="center"/>
    </xf>
    <xf numFmtId="0" fontId="32" fillId="0" borderId="1" xfId="10" applyFont="1" applyBorder="1" applyAlignment="1">
      <alignment horizontal="center" vertical="center"/>
    </xf>
    <xf numFmtId="165" fontId="1" fillId="0" borderId="0" xfId="10" applyNumberFormat="1" applyFont="1" applyBorder="1" applyAlignment="1">
      <alignment vertical="center"/>
    </xf>
    <xf numFmtId="0" fontId="1" fillId="0" borderId="0" xfId="10" applyFont="1" applyBorder="1" applyAlignment="1">
      <alignment vertical="center"/>
    </xf>
    <xf numFmtId="166" fontId="1" fillId="0" borderId="0" xfId="10" applyNumberFormat="1" applyFont="1" applyBorder="1" applyAlignment="1">
      <alignment vertical="center"/>
    </xf>
    <xf numFmtId="0" fontId="32" fillId="0" borderId="1" xfId="10" applyFont="1" applyBorder="1" applyAlignment="1">
      <alignment horizontal="left" vertical="center"/>
    </xf>
    <xf numFmtId="0" fontId="24" fillId="0" borderId="1" xfId="13" applyFont="1" applyBorder="1" applyAlignment="1">
      <alignment horizontal="left" vertical="center" wrapText="1"/>
    </xf>
    <xf numFmtId="0" fontId="24" fillId="0" borderId="1" xfId="13" applyFont="1" applyBorder="1" applyAlignment="1">
      <alignment horizontal="center" vertical="center" wrapText="1"/>
    </xf>
    <xf numFmtId="167" fontId="24" fillId="0" borderId="1" xfId="12" applyNumberFormat="1" applyFont="1" applyBorder="1" applyAlignment="1">
      <alignment horizontal="center" vertical="center"/>
    </xf>
    <xf numFmtId="167" fontId="47" fillId="0" borderId="0" xfId="12" applyNumberFormat="1" applyFont="1" applyBorder="1" applyAlignment="1">
      <alignment vertical="center"/>
    </xf>
    <xf numFmtId="0" fontId="24" fillId="2" borderId="1" xfId="10" applyFont="1" applyFill="1" applyBorder="1" applyAlignment="1">
      <alignment horizontal="center"/>
    </xf>
    <xf numFmtId="166" fontId="1" fillId="0" borderId="0" xfId="10" applyNumberFormat="1" applyFont="1" applyBorder="1"/>
    <xf numFmtId="0" fontId="1" fillId="0" borderId="0" xfId="10" applyFont="1" applyBorder="1"/>
    <xf numFmtId="0" fontId="1" fillId="0" borderId="1" xfId="10" applyFont="1" applyBorder="1" applyAlignment="1">
      <alignment horizontal="center"/>
    </xf>
    <xf numFmtId="0" fontId="32" fillId="0" borderId="0" xfId="10" applyFont="1" applyBorder="1"/>
    <xf numFmtId="166" fontId="32" fillId="0" borderId="0" xfId="12" applyNumberFormat="1" applyFont="1" applyBorder="1"/>
    <xf numFmtId="0" fontId="32" fillId="0" borderId="1" xfId="0" applyFont="1" applyBorder="1"/>
    <xf numFmtId="0" fontId="32" fillId="0" borderId="1" xfId="0" applyFont="1" applyBorder="1" applyAlignment="1">
      <alignment horizontal="center"/>
    </xf>
    <xf numFmtId="167" fontId="32" fillId="0" borderId="1" xfId="1" applyNumberFormat="1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167" fontId="24" fillId="0" borderId="1" xfId="1" applyNumberFormat="1" applyFont="1" applyBorder="1"/>
    <xf numFmtId="166" fontId="13" fillId="0" borderId="0" xfId="12" applyNumberFormat="1" applyFont="1" applyFill="1" applyBorder="1" applyAlignment="1"/>
    <xf numFmtId="166" fontId="12" fillId="0" borderId="0" xfId="12" applyNumberFormat="1" applyFont="1" applyFill="1" applyAlignment="1"/>
    <xf numFmtId="0" fontId="1" fillId="0" borderId="0" xfId="10" applyFont="1" applyFill="1" applyAlignment="1">
      <alignment horizontal="center"/>
    </xf>
    <xf numFmtId="0" fontId="1" fillId="0" borderId="0" xfId="10" applyFont="1" applyFill="1"/>
    <xf numFmtId="166" fontId="1" fillId="0" borderId="0" xfId="12" applyNumberFormat="1" applyFont="1" applyFill="1"/>
    <xf numFmtId="0" fontId="32" fillId="0" borderId="0" xfId="10" applyFont="1" applyFill="1" applyAlignment="1"/>
    <xf numFmtId="0" fontId="32" fillId="0" borderId="0" xfId="10" applyFont="1" applyFill="1" applyAlignment="1">
      <alignment horizontal="center"/>
    </xf>
    <xf numFmtId="166" fontId="32" fillId="0" borderId="0" xfId="12" applyNumberFormat="1" applyFont="1" applyFill="1" applyAlignment="1"/>
    <xf numFmtId="166" fontId="24" fillId="0" borderId="0" xfId="12" applyNumberFormat="1" applyFont="1"/>
    <xf numFmtId="0" fontId="24" fillId="0" borderId="0" xfId="10" applyFont="1" applyAlignment="1"/>
    <xf numFmtId="166" fontId="1" fillId="0" borderId="0" xfId="10" applyNumberFormat="1" applyFont="1"/>
    <xf numFmtId="0" fontId="32" fillId="0" borderId="0" xfId="10" applyFont="1"/>
    <xf numFmtId="0" fontId="3" fillId="0" borderId="0" xfId="13" applyFont="1"/>
    <xf numFmtId="0" fontId="86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32" fillId="0" borderId="0" xfId="13" applyFont="1" applyBorder="1" applyAlignment="1">
      <alignment horizontal="center"/>
    </xf>
    <xf numFmtId="0" fontId="3" fillId="0" borderId="0" xfId="13" applyFont="1" applyBorder="1"/>
    <xf numFmtId="0" fontId="27" fillId="0" borderId="0" xfId="13" applyFont="1" applyBorder="1" applyAlignment="1"/>
    <xf numFmtId="0" fontId="87" fillId="0" borderId="0" xfId="13" applyFont="1" applyBorder="1"/>
    <xf numFmtId="0" fontId="88" fillId="0" borderId="0" xfId="13" applyFont="1" applyAlignment="1">
      <alignment horizontal="center"/>
    </xf>
    <xf numFmtId="0" fontId="35" fillId="0" borderId="1" xfId="13" applyFont="1" applyBorder="1" applyAlignment="1">
      <alignment horizontal="center" vertical="center"/>
    </xf>
    <xf numFmtId="0" fontId="35" fillId="0" borderId="1" xfId="13" applyFont="1" applyBorder="1" applyAlignment="1">
      <alignment horizontal="center" vertical="center" wrapText="1"/>
    </xf>
    <xf numFmtId="0" fontId="87" fillId="0" borderId="0" xfId="13" applyFont="1" applyAlignment="1">
      <alignment horizontal="center" vertical="center"/>
    </xf>
    <xf numFmtId="0" fontId="32" fillId="0" borderId="1" xfId="13" applyFont="1" applyBorder="1" applyAlignment="1">
      <alignment horizontal="center" vertical="center" wrapText="1"/>
    </xf>
    <xf numFmtId="43" fontId="32" fillId="0" borderId="1" xfId="13" applyNumberFormat="1" applyFont="1" applyBorder="1" applyAlignment="1">
      <alignment horizontal="center" vertical="center" wrapText="1"/>
    </xf>
    <xf numFmtId="0" fontId="72" fillId="0" borderId="0" xfId="13" applyFont="1" applyAlignment="1">
      <alignment horizontal="center" vertical="center"/>
    </xf>
    <xf numFmtId="0" fontId="32" fillId="0" borderId="1" xfId="13" applyFont="1" applyBorder="1" applyAlignment="1">
      <alignment horizontal="left" vertical="center" wrapText="1"/>
    </xf>
    <xf numFmtId="165" fontId="32" fillId="0" borderId="1" xfId="1" applyFont="1" applyBorder="1" applyAlignment="1">
      <alignment horizontal="center" vertical="center" wrapText="1"/>
    </xf>
    <xf numFmtId="0" fontId="24" fillId="0" borderId="1" xfId="13" applyFont="1" applyFill="1" applyBorder="1" applyAlignment="1">
      <alignment horizontal="center"/>
    </xf>
    <xf numFmtId="165" fontId="24" fillId="0" borderId="1" xfId="1" applyFont="1" applyBorder="1" applyAlignment="1">
      <alignment horizontal="center" vertical="center" wrapText="1"/>
    </xf>
    <xf numFmtId="43" fontId="24" fillId="0" borderId="1" xfId="0" applyNumberFormat="1" applyFont="1" applyBorder="1" applyAlignment="1">
      <alignment horizontal="center" vertical="center" wrapText="1"/>
    </xf>
    <xf numFmtId="0" fontId="24" fillId="0" borderId="1" xfId="13" applyFont="1" applyFill="1" applyBorder="1" applyAlignment="1">
      <alignment horizontal="center" vertical="center"/>
    </xf>
    <xf numFmtId="0" fontId="9" fillId="0" borderId="0" xfId="13" applyFont="1"/>
    <xf numFmtId="0" fontId="32" fillId="0" borderId="0" xfId="0" applyFont="1" applyFill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32" fillId="0" borderId="0" xfId="7" applyFont="1" applyAlignment="1">
      <alignment horizontal="left"/>
    </xf>
    <xf numFmtId="0" fontId="26" fillId="0" borderId="0" xfId="13" applyFont="1" applyAlignment="1">
      <alignment horizontal="left"/>
    </xf>
    <xf numFmtId="0" fontId="32" fillId="0" borderId="0" xfId="0" applyFont="1" applyFill="1" applyAlignment="1"/>
    <xf numFmtId="166" fontId="32" fillId="0" borderId="10" xfId="12" applyNumberFormat="1" applyFont="1" applyBorder="1" applyAlignment="1">
      <alignment horizontal="center" vertical="center"/>
    </xf>
    <xf numFmtId="0" fontId="0" fillId="0" borderId="0" xfId="0"/>
    <xf numFmtId="0" fontId="28" fillId="0" borderId="0" xfId="15" applyFont="1"/>
    <xf numFmtId="0" fontId="26" fillId="0" borderId="0" xfId="15" applyFont="1" applyAlignment="1">
      <alignment horizontal="center"/>
    </xf>
    <xf numFmtId="43" fontId="28" fillId="0" borderId="0" xfId="5" applyFont="1"/>
    <xf numFmtId="0" fontId="33" fillId="0" borderId="0" xfId="15" applyFont="1" applyAlignment="1"/>
    <xf numFmtId="0" fontId="33" fillId="0" borderId="0" xfId="15" applyFont="1" applyAlignment="1">
      <alignment horizontal="center"/>
    </xf>
    <xf numFmtId="0" fontId="3" fillId="0" borderId="0" xfId="15"/>
    <xf numFmtId="167" fontId="20" fillId="0" borderId="0" xfId="15" applyNumberFormat="1" applyFont="1"/>
    <xf numFmtId="166" fontId="20" fillId="0" borderId="0" xfId="15" applyNumberFormat="1" applyFont="1"/>
    <xf numFmtId="0" fontId="36" fillId="0" borderId="12" xfId="15" applyFont="1" applyBorder="1" applyAlignment="1"/>
    <xf numFmtId="0" fontId="20" fillId="0" borderId="0" xfId="15" applyFont="1"/>
    <xf numFmtId="0" fontId="20" fillId="0" borderId="8" xfId="15" applyFont="1" applyBorder="1" applyAlignment="1">
      <alignment horizontal="center" vertical="center" wrapText="1"/>
    </xf>
    <xf numFmtId="0" fontId="20" fillId="0" borderId="1" xfId="15" applyFont="1" applyBorder="1" applyAlignment="1">
      <alignment horizontal="center"/>
    </xf>
    <xf numFmtId="0" fontId="20" fillId="0" borderId="1" xfId="15" applyFont="1" applyBorder="1" applyAlignment="1">
      <alignment horizontal="center" vertical="center"/>
    </xf>
    <xf numFmtId="0" fontId="89" fillId="3" borderId="7" xfId="15" applyFont="1" applyFill="1" applyBorder="1" applyAlignment="1">
      <alignment horizontal="center"/>
    </xf>
    <xf numFmtId="0" fontId="32" fillId="3" borderId="7" xfId="15" applyFont="1" applyFill="1" applyBorder="1" applyAlignment="1">
      <alignment horizontal="center"/>
    </xf>
    <xf numFmtId="167" fontId="31" fillId="3" borderId="7" xfId="5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66" fontId="26" fillId="0" borderId="3" xfId="0" applyNumberFormat="1" applyFont="1" applyFill="1" applyBorder="1" applyAlignment="1">
      <alignment horizontal="center" vertical="center"/>
    </xf>
    <xf numFmtId="167" fontId="31" fillId="3" borderId="22" xfId="5" applyNumberFormat="1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/>
    </xf>
    <xf numFmtId="166" fontId="28" fillId="0" borderId="3" xfId="0" applyNumberFormat="1" applyFont="1" applyFill="1" applyBorder="1" applyAlignment="1">
      <alignment horizontal="left"/>
    </xf>
    <xf numFmtId="167" fontId="20" fillId="3" borderId="22" xfId="5" applyNumberFormat="1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/>
    </xf>
    <xf numFmtId="166" fontId="28" fillId="2" borderId="3" xfId="0" applyNumberFormat="1" applyFont="1" applyFill="1" applyBorder="1" applyAlignment="1">
      <alignment horizontal="left"/>
    </xf>
    <xf numFmtId="167" fontId="20" fillId="2" borderId="22" xfId="5" applyNumberFormat="1" applyFont="1" applyFill="1" applyBorder="1" applyAlignment="1">
      <alignment horizontal="center" vertical="center"/>
    </xf>
    <xf numFmtId="0" fontId="0" fillId="2" borderId="0" xfId="0" applyFill="1"/>
    <xf numFmtId="0" fontId="28" fillId="0" borderId="2" xfId="0" applyFont="1" applyFill="1" applyBorder="1" applyAlignment="1">
      <alignment horizontal="center"/>
    </xf>
    <xf numFmtId="166" fontId="28" fillId="0" borderId="2" xfId="0" applyNumberFormat="1" applyFont="1" applyFill="1" applyBorder="1" applyAlignment="1">
      <alignment horizontal="left"/>
    </xf>
    <xf numFmtId="167" fontId="20" fillId="0" borderId="22" xfId="5" applyNumberFormat="1" applyFont="1" applyBorder="1" applyAlignment="1">
      <alignment horizontal="center" vertical="center"/>
    </xf>
    <xf numFmtId="0" fontId="21" fillId="0" borderId="14" xfId="15" applyFont="1" applyBorder="1" applyAlignment="1"/>
    <xf numFmtId="0" fontId="90" fillId="0" borderId="0" xfId="15" applyFont="1"/>
    <xf numFmtId="0" fontId="21" fillId="0" borderId="0" xfId="15" applyFont="1"/>
    <xf numFmtId="0" fontId="20" fillId="0" borderId="0" xfId="15" applyFont="1" applyAlignment="1">
      <alignment wrapText="1"/>
    </xf>
    <xf numFmtId="0" fontId="20" fillId="0" borderId="0" xfId="15" applyFont="1" applyAlignment="1">
      <alignment horizontal="center"/>
    </xf>
    <xf numFmtId="167" fontId="20" fillId="0" borderId="0" xfId="15" applyNumberFormat="1" applyFont="1" applyAlignment="1">
      <alignment horizontal="center"/>
    </xf>
    <xf numFmtId="0" fontId="28" fillId="2" borderId="0" xfId="15" applyFont="1" applyFill="1"/>
    <xf numFmtId="0" fontId="33" fillId="2" borderId="0" xfId="15" applyFont="1" applyFill="1" applyAlignment="1"/>
    <xf numFmtId="0" fontId="20" fillId="2" borderId="0" xfId="15" applyFont="1" applyFill="1"/>
    <xf numFmtId="43" fontId="20" fillId="0" borderId="0" xfId="15" applyNumberFormat="1" applyFont="1"/>
    <xf numFmtId="43" fontId="36" fillId="0" borderId="12" xfId="15" applyNumberFormat="1" applyFont="1" applyBorder="1" applyAlignment="1"/>
    <xf numFmtId="166" fontId="36" fillId="0" borderId="12" xfId="15" applyNumberFormat="1" applyFont="1" applyBorder="1" applyAlignment="1"/>
    <xf numFmtId="43" fontId="91" fillId="0" borderId="0" xfId="15" applyNumberFormat="1" applyFont="1" applyBorder="1" applyAlignment="1"/>
    <xf numFmtId="0" fontId="20" fillId="0" borderId="4" xfId="15" applyFont="1" applyBorder="1" applyAlignment="1">
      <alignment horizontal="center" vertical="center" wrapText="1"/>
    </xf>
    <xf numFmtId="43" fontId="25" fillId="0" borderId="0" xfId="0" applyNumberFormat="1" applyFont="1"/>
    <xf numFmtId="0" fontId="20" fillId="0" borderId="10" xfId="15" applyFont="1" applyBorder="1" applyAlignment="1">
      <alignment horizontal="center"/>
    </xf>
    <xf numFmtId="0" fontId="20" fillId="0" borderId="10" xfId="15" applyFont="1" applyBorder="1" applyAlignment="1">
      <alignment horizontal="center" vertical="center"/>
    </xf>
    <xf numFmtId="0" fontId="20" fillId="2" borderId="10" xfId="15" applyFont="1" applyFill="1" applyBorder="1" applyAlignment="1">
      <alignment horizontal="center" vertical="center"/>
    </xf>
    <xf numFmtId="0" fontId="89" fillId="3" borderId="1" xfId="15" applyFont="1" applyFill="1" applyBorder="1" applyAlignment="1">
      <alignment horizontal="center"/>
    </xf>
    <xf numFmtId="0" fontId="32" fillId="3" borderId="1" xfId="15" applyFont="1" applyFill="1" applyBorder="1" applyAlignment="1">
      <alignment horizontal="center" vertical="center"/>
    </xf>
    <xf numFmtId="166" fontId="31" fillId="3" borderId="1" xfId="1" applyNumberFormat="1" applyFont="1" applyFill="1" applyBorder="1" applyAlignment="1">
      <alignment horizontal="center" vertical="center"/>
    </xf>
    <xf numFmtId="166" fontId="31" fillId="2" borderId="1" xfId="1" applyNumberFormat="1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166" fontId="31" fillId="3" borderId="1" xfId="5" applyNumberFormat="1" applyFont="1" applyFill="1" applyBorder="1" applyAlignment="1">
      <alignment horizontal="center" vertical="center"/>
    </xf>
    <xf numFmtId="166" fontId="31" fillId="2" borderId="1" xfId="5" applyNumberFormat="1" applyFont="1" applyFill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left"/>
    </xf>
    <xf numFmtId="0" fontId="32" fillId="3" borderId="1" xfId="15" applyFont="1" applyFill="1" applyBorder="1" applyAlignment="1">
      <alignment horizontal="center"/>
    </xf>
    <xf numFmtId="1" fontId="29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0" fillId="0" borderId="1" xfId="1" applyNumberFormat="1" applyFont="1" applyFill="1" applyBorder="1" applyAlignment="1">
      <alignment horizontal="center" vertical="center"/>
    </xf>
    <xf numFmtId="166" fontId="20" fillId="0" borderId="1" xfId="5" applyNumberFormat="1" applyFont="1" applyFill="1" applyBorder="1" applyAlignment="1">
      <alignment horizontal="center" vertical="center"/>
    </xf>
    <xf numFmtId="166" fontId="20" fillId="2" borderId="1" xfId="1" applyNumberFormat="1" applyFont="1" applyFill="1" applyBorder="1" applyAlignment="1">
      <alignment horizontal="center" vertical="center"/>
    </xf>
    <xf numFmtId="166" fontId="20" fillId="2" borderId="1" xfId="5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166" fontId="30" fillId="0" borderId="1" xfId="0" applyNumberFormat="1" applyFont="1" applyFill="1" applyBorder="1" applyAlignment="1">
      <alignment horizontal="center"/>
    </xf>
    <xf numFmtId="166" fontId="20" fillId="0" borderId="1" xfId="1" applyNumberFormat="1" applyFont="1" applyBorder="1" applyAlignment="1">
      <alignment horizontal="center" vertical="center"/>
    </xf>
    <xf numFmtId="166" fontId="20" fillId="0" borderId="1" xfId="5" applyNumberFormat="1" applyFont="1" applyBorder="1" applyAlignment="1">
      <alignment horizontal="center" vertical="center"/>
    </xf>
    <xf numFmtId="167" fontId="25" fillId="0" borderId="0" xfId="0" applyNumberFormat="1" applyFont="1"/>
    <xf numFmtId="1" fontId="28" fillId="0" borderId="1" xfId="0" applyNumberFormat="1" applyFont="1" applyFill="1" applyBorder="1" applyAlignment="1">
      <alignment horizontal="center"/>
    </xf>
    <xf numFmtId="0" fontId="25" fillId="2" borderId="0" xfId="0" applyFont="1" applyFill="1"/>
    <xf numFmtId="166" fontId="32" fillId="0" borderId="0" xfId="1" applyNumberFormat="1" applyFont="1" applyFill="1" applyAlignment="1">
      <alignment horizontal="center"/>
    </xf>
    <xf numFmtId="166" fontId="38" fillId="0" borderId="0" xfId="1" applyNumberFormat="1" applyFont="1" applyFill="1" applyAlignment="1">
      <alignment horizontal="center"/>
    </xf>
    <xf numFmtId="167" fontId="24" fillId="0" borderId="19" xfId="1" applyNumberFormat="1" applyFont="1" applyFill="1" applyBorder="1" applyAlignment="1">
      <alignment horizontal="center" vertical="center" wrapText="1"/>
    </xf>
    <xf numFmtId="167" fontId="20" fillId="0" borderId="19" xfId="1" applyNumberFormat="1" applyFont="1" applyFill="1" applyBorder="1" applyAlignment="1">
      <alignment horizontal="center" vertical="center" wrapText="1"/>
    </xf>
    <xf numFmtId="167" fontId="32" fillId="0" borderId="19" xfId="1" applyNumberFormat="1" applyFont="1" applyFill="1" applyBorder="1" applyAlignment="1">
      <alignment horizontal="center" vertical="center" wrapText="1"/>
    </xf>
    <xf numFmtId="167" fontId="38" fillId="0" borderId="19" xfId="1" applyNumberFormat="1" applyFont="1" applyFill="1" applyBorder="1" applyAlignment="1">
      <alignment horizontal="center" vertical="center" wrapText="1"/>
    </xf>
    <xf numFmtId="167" fontId="27" fillId="2" borderId="19" xfId="1" applyNumberFormat="1" applyFont="1" applyFill="1" applyBorder="1" applyAlignment="1">
      <alignment horizontal="center" vertical="center"/>
    </xf>
    <xf numFmtId="167" fontId="24" fillId="2" borderId="19" xfId="1" applyNumberFormat="1" applyFont="1" applyFill="1" applyBorder="1"/>
    <xf numFmtId="167" fontId="27" fillId="2" borderId="19" xfId="1" applyNumberFormat="1" applyFont="1" applyFill="1" applyBorder="1" applyAlignment="1">
      <alignment horizontal="center"/>
    </xf>
    <xf numFmtId="167" fontId="24" fillId="2" borderId="19" xfId="0" applyNumberFormat="1" applyFont="1" applyFill="1" applyBorder="1"/>
    <xf numFmtId="0" fontId="1" fillId="2" borderId="1" xfId="0" applyFont="1" applyFill="1" applyBorder="1"/>
    <xf numFmtId="43" fontId="1" fillId="2" borderId="1" xfId="0" applyNumberFormat="1" applyFont="1" applyFill="1" applyBorder="1"/>
    <xf numFmtId="43" fontId="1" fillId="2" borderId="1" xfId="0" applyNumberFormat="1" applyFont="1" applyFill="1" applyBorder="1" applyAlignment="1">
      <alignment vertical="center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166" fontId="27" fillId="0" borderId="0" xfId="1" applyNumberFormat="1" applyFont="1" applyFill="1" applyBorder="1" applyAlignment="1">
      <alignment horizontal="center"/>
    </xf>
    <xf numFmtId="0" fontId="28" fillId="0" borderId="0" xfId="10" applyFont="1" applyFill="1" applyAlignment="1"/>
    <xf numFmtId="0" fontId="28" fillId="0" borderId="0" xfId="15" applyFont="1" applyAlignment="1"/>
    <xf numFmtId="0" fontId="26" fillId="0" borderId="0" xfId="15" applyFont="1" applyAlignment="1"/>
    <xf numFmtId="166" fontId="33" fillId="0" borderId="0" xfId="1" applyNumberFormat="1" applyFont="1" applyFill="1" applyAlignment="1">
      <alignment horizontal="center"/>
    </xf>
    <xf numFmtId="167" fontId="24" fillId="0" borderId="1" xfId="1" applyNumberFormat="1" applyFont="1" applyFill="1" applyBorder="1" applyAlignment="1">
      <alignment horizontal="center" vertical="center" wrapText="1"/>
    </xf>
    <xf numFmtId="166" fontId="35" fillId="0" borderId="1" xfId="1" applyNumberFormat="1" applyFont="1" applyFill="1" applyBorder="1" applyAlignment="1">
      <alignment horizontal="center" vertical="center" wrapText="1"/>
    </xf>
    <xf numFmtId="167" fontId="97" fillId="0" borderId="1" xfId="1" applyNumberFormat="1" applyFont="1" applyFill="1" applyBorder="1" applyAlignment="1">
      <alignment horizontal="right" vertical="center" wrapText="1"/>
    </xf>
    <xf numFmtId="167" fontId="98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0" fontId="35" fillId="0" borderId="0" xfId="0" applyFont="1" applyFill="1"/>
    <xf numFmtId="0" fontId="1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59" fillId="0" borderId="4" xfId="0" applyFont="1" applyFill="1" applyBorder="1" applyAlignment="1">
      <alignment horizontal="center"/>
    </xf>
    <xf numFmtId="0" fontId="46" fillId="0" borderId="4" xfId="0" applyNumberFormat="1" applyFont="1" applyBorder="1" applyAlignment="1">
      <alignment horizontal="center"/>
    </xf>
    <xf numFmtId="166" fontId="39" fillId="0" borderId="1" xfId="1" applyNumberFormat="1" applyFont="1" applyFill="1" applyBorder="1" applyAlignment="1">
      <alignment horizontal="center" vertical="top" wrapText="1"/>
    </xf>
    <xf numFmtId="0" fontId="46" fillId="0" borderId="1" xfId="0" applyFont="1" applyBorder="1" applyAlignment="1">
      <alignment horizontal="center"/>
    </xf>
    <xf numFmtId="166" fontId="56" fillId="0" borderId="1" xfId="1" applyNumberFormat="1" applyFont="1" applyFill="1" applyBorder="1" applyAlignment="1">
      <alignment horizontal="center" vertical="top" wrapText="1"/>
    </xf>
    <xf numFmtId="165" fontId="56" fillId="0" borderId="1" xfId="1" applyFont="1" applyFill="1" applyBorder="1" applyAlignment="1">
      <alignment horizontal="center" vertical="top" wrapText="1"/>
    </xf>
    <xf numFmtId="0" fontId="0" fillId="0" borderId="1" xfId="0" applyBorder="1"/>
    <xf numFmtId="166" fontId="8" fillId="0" borderId="1" xfId="1" applyNumberFormat="1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/>
    </xf>
    <xf numFmtId="167" fontId="56" fillId="0" borderId="1" xfId="1" applyNumberFormat="1" applyFont="1" applyFill="1" applyBorder="1" applyAlignment="1">
      <alignment horizontal="center"/>
    </xf>
    <xf numFmtId="167" fontId="93" fillId="0" borderId="1" xfId="1" applyNumberFormat="1" applyFont="1" applyFill="1" applyBorder="1" applyAlignment="1">
      <alignment horizontal="center"/>
    </xf>
    <xf numFmtId="167" fontId="58" fillId="0" borderId="1" xfId="1" applyNumberFormat="1" applyFont="1" applyFill="1" applyBorder="1" applyAlignment="1">
      <alignment horizontal="center"/>
    </xf>
    <xf numFmtId="167" fontId="93" fillId="0" borderId="1" xfId="1" applyNumberFormat="1" applyFont="1" applyFill="1" applyBorder="1" applyAlignment="1">
      <alignment horizontal="right" vertical="center" wrapText="1"/>
    </xf>
    <xf numFmtId="167" fontId="94" fillId="0" borderId="1" xfId="1" applyNumberFormat="1" applyFont="1" applyFill="1" applyBorder="1"/>
    <xf numFmtId="167" fontId="76" fillId="0" borderId="1" xfId="1" applyNumberFormat="1" applyFont="1" applyFill="1" applyBorder="1" applyAlignment="1">
      <alignment horizontal="center"/>
    </xf>
    <xf numFmtId="167" fontId="95" fillId="0" borderId="1" xfId="1" applyNumberFormat="1" applyFont="1" applyFill="1" applyBorder="1" applyAlignment="1"/>
    <xf numFmtId="167" fontId="96" fillId="0" borderId="1" xfId="1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9" fillId="0" borderId="1" xfId="0" applyFont="1" applyFill="1" applyBorder="1"/>
    <xf numFmtId="0" fontId="26" fillId="2" borderId="0" xfId="0" applyFont="1" applyFill="1" applyAlignment="1"/>
    <xf numFmtId="165" fontId="28" fillId="2" borderId="0" xfId="1" applyFont="1" applyFill="1"/>
    <xf numFmtId="166" fontId="30" fillId="2" borderId="0" xfId="1" applyNumberFormat="1" applyFont="1" applyFill="1" applyAlignment="1"/>
    <xf numFmtId="0" fontId="26" fillId="2" borderId="0" xfId="0" applyFont="1" applyFill="1" applyAlignment="1">
      <alignment horizontal="left"/>
    </xf>
    <xf numFmtId="166" fontId="26" fillId="2" borderId="0" xfId="1" applyNumberFormat="1" applyFont="1" applyFill="1" applyAlignment="1"/>
    <xf numFmtId="0" fontId="26" fillId="2" borderId="0" xfId="0" applyNumberFormat="1" applyFont="1" applyFill="1" applyAlignment="1">
      <alignment horizontal="left"/>
    </xf>
    <xf numFmtId="0" fontId="26" fillId="2" borderId="0" xfId="0" applyNumberFormat="1" applyFont="1" applyFill="1" applyAlignment="1"/>
    <xf numFmtId="165" fontId="26" fillId="2" borderId="0" xfId="1" applyFont="1" applyFill="1" applyAlignment="1">
      <alignment horizontal="left"/>
    </xf>
    <xf numFmtId="166" fontId="28" fillId="2" borderId="0" xfId="1" applyNumberFormat="1" applyFont="1" applyFill="1"/>
    <xf numFmtId="0" fontId="28" fillId="2" borderId="0" xfId="0" applyFont="1" applyFill="1"/>
    <xf numFmtId="0" fontId="26" fillId="2" borderId="0" xfId="0" applyFont="1" applyFill="1"/>
    <xf numFmtId="166" fontId="19" fillId="2" borderId="17" xfId="1" applyNumberFormat="1" applyFont="1" applyFill="1" applyBorder="1" applyAlignment="1">
      <alignment horizontal="center" vertical="center" wrapText="1"/>
    </xf>
    <xf numFmtId="165" fontId="19" fillId="2" borderId="14" xfId="1" applyFont="1" applyFill="1" applyBorder="1" applyAlignment="1">
      <alignment horizontal="center" vertical="center" wrapText="1"/>
    </xf>
    <xf numFmtId="166" fontId="19" fillId="2" borderId="11" xfId="1" applyNumberFormat="1" applyFont="1" applyFill="1" applyBorder="1" applyAlignment="1">
      <alignment horizontal="center" vertical="center" wrapText="1"/>
    </xf>
    <xf numFmtId="166" fontId="19" fillId="2" borderId="18" xfId="1" applyNumberFormat="1" applyFont="1" applyFill="1" applyBorder="1" applyAlignment="1">
      <alignment horizontal="center" vertical="center" wrapText="1"/>
    </xf>
    <xf numFmtId="166" fontId="19" fillId="2" borderId="1" xfId="1" applyNumberFormat="1" applyFont="1" applyFill="1" applyBorder="1" applyAlignment="1">
      <alignment vertical="center" wrapText="1"/>
    </xf>
    <xf numFmtId="166" fontId="19" fillId="2" borderId="1" xfId="1" applyNumberFormat="1" applyFont="1" applyFill="1" applyBorder="1" applyAlignment="1">
      <alignment horizontal="center" vertical="center" wrapText="1"/>
    </xf>
    <xf numFmtId="167" fontId="19" fillId="2" borderId="1" xfId="1" applyNumberFormat="1" applyFont="1" applyFill="1" applyBorder="1" applyAlignment="1">
      <alignment vertical="center" wrapText="1"/>
    </xf>
    <xf numFmtId="167" fontId="19" fillId="2" borderId="1" xfId="1" applyNumberFormat="1" applyFont="1" applyFill="1" applyBorder="1" applyAlignment="1">
      <alignment horizontal="center" vertical="center" wrapText="1"/>
    </xf>
    <xf numFmtId="166" fontId="19" fillId="2" borderId="1" xfId="1" applyNumberFormat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/>
    </xf>
    <xf numFmtId="0" fontId="99" fillId="2" borderId="1" xfId="6" applyFont="1" applyFill="1" applyBorder="1" applyAlignment="1">
      <alignment vertical="center"/>
    </xf>
    <xf numFmtId="0" fontId="99" fillId="2" borderId="1" xfId="6" applyFont="1" applyFill="1" applyBorder="1" applyAlignment="1">
      <alignment horizontal="center" vertical="center" wrapText="1"/>
    </xf>
    <xf numFmtId="1" fontId="99" fillId="2" borderId="1" xfId="6" applyNumberFormat="1" applyFont="1" applyFill="1" applyBorder="1" applyAlignment="1">
      <alignment horizontal="center" vertical="center" wrapText="1"/>
    </xf>
    <xf numFmtId="1" fontId="99" fillId="2" borderId="1" xfId="1" applyNumberFormat="1" applyFont="1" applyFill="1" applyBorder="1"/>
    <xf numFmtId="2" fontId="99" fillId="2" borderId="1" xfId="1" applyNumberFormat="1" applyFont="1" applyFill="1" applyBorder="1" applyAlignment="1">
      <alignment vertical="center"/>
    </xf>
    <xf numFmtId="165" fontId="99" fillId="2" borderId="1" xfId="1" applyFont="1" applyFill="1" applyBorder="1" applyAlignment="1">
      <alignment vertical="center" wrapText="1"/>
    </xf>
    <xf numFmtId="1" fontId="99" fillId="2" borderId="1" xfId="1" applyNumberFormat="1" applyFont="1" applyFill="1" applyBorder="1" applyAlignment="1">
      <alignment vertical="center" wrapText="1"/>
    </xf>
    <xf numFmtId="167" fontId="99" fillId="4" borderId="1" xfId="1" applyNumberFormat="1" applyFont="1" applyFill="1" applyBorder="1" applyAlignment="1">
      <alignment vertical="center" wrapText="1"/>
    </xf>
    <xf numFmtId="2" fontId="100" fillId="2" borderId="1" xfId="1" applyNumberFormat="1" applyFont="1" applyFill="1" applyBorder="1" applyAlignment="1"/>
    <xf numFmtId="165" fontId="100" fillId="2" borderId="1" xfId="1" applyFont="1" applyFill="1" applyBorder="1" applyAlignment="1"/>
    <xf numFmtId="167" fontId="100" fillId="4" borderId="1" xfId="1" applyNumberFormat="1" applyFont="1" applyFill="1" applyBorder="1" applyAlignment="1"/>
    <xf numFmtId="2" fontId="99" fillId="2" borderId="1" xfId="1" applyNumberFormat="1" applyFont="1" applyFill="1" applyBorder="1" applyAlignment="1"/>
    <xf numFmtId="165" fontId="99" fillId="2" borderId="1" xfId="1" applyFont="1" applyFill="1" applyBorder="1"/>
    <xf numFmtId="167" fontId="99" fillId="4" borderId="1" xfId="0" applyNumberFormat="1" applyFont="1" applyFill="1" applyBorder="1"/>
    <xf numFmtId="0" fontId="99" fillId="2" borderId="1" xfId="6" applyFont="1" applyFill="1" applyBorder="1" applyAlignment="1">
      <alignment horizontal="left" vertical="center"/>
    </xf>
    <xf numFmtId="0" fontId="99" fillId="2" borderId="0" xfId="0" applyFont="1" applyFill="1" applyAlignment="1"/>
    <xf numFmtId="0" fontId="99" fillId="2" borderId="10" xfId="6" applyFont="1" applyFill="1" applyBorder="1" applyAlignment="1">
      <alignment horizontal="left" vertical="center"/>
    </xf>
    <xf numFmtId="0" fontId="99" fillId="2" borderId="10" xfId="6" applyFont="1" applyFill="1" applyBorder="1" applyAlignment="1">
      <alignment horizontal="center" vertical="center"/>
    </xf>
    <xf numFmtId="1" fontId="99" fillId="2" borderId="10" xfId="1" applyNumberFormat="1" applyFont="1" applyFill="1" applyBorder="1"/>
    <xf numFmtId="2" fontId="99" fillId="2" borderId="10" xfId="1" applyNumberFormat="1" applyFont="1" applyFill="1" applyBorder="1" applyAlignment="1"/>
    <xf numFmtId="1" fontId="99" fillId="2" borderId="10" xfId="1" applyNumberFormat="1" applyFont="1" applyFill="1" applyBorder="1" applyAlignment="1">
      <alignment vertical="center" wrapText="1"/>
    </xf>
    <xf numFmtId="0" fontId="99" fillId="2" borderId="10" xfId="6" applyFont="1" applyFill="1" applyBorder="1" applyAlignment="1">
      <alignment horizontal="center" vertical="center" wrapText="1"/>
    </xf>
    <xf numFmtId="165" fontId="99" fillId="2" borderId="10" xfId="1" applyFont="1" applyFill="1" applyBorder="1" applyAlignment="1">
      <alignment vertical="center" wrapText="1"/>
    </xf>
    <xf numFmtId="167" fontId="99" fillId="4" borderId="10" xfId="0" applyNumberFormat="1" applyFont="1" applyFill="1" applyBorder="1"/>
    <xf numFmtId="0" fontId="28" fillId="2" borderId="19" xfId="6" applyFont="1" applyFill="1" applyBorder="1" applyAlignment="1">
      <alignment vertical="center"/>
    </xf>
    <xf numFmtId="0" fontId="99" fillId="2" borderId="13" xfId="6" applyFont="1" applyFill="1" applyBorder="1" applyAlignment="1">
      <alignment vertical="center"/>
    </xf>
    <xf numFmtId="0" fontId="99" fillId="2" borderId="15" xfId="6" applyFont="1" applyFill="1" applyBorder="1" applyAlignment="1">
      <alignment vertical="center"/>
    </xf>
    <xf numFmtId="0" fontId="99" fillId="2" borderId="1" xfId="0" applyFont="1" applyFill="1" applyBorder="1" applyAlignment="1"/>
    <xf numFmtId="167" fontId="99" fillId="2" borderId="1" xfId="0" applyNumberFormat="1" applyFont="1" applyFill="1" applyBorder="1"/>
    <xf numFmtId="177" fontId="99" fillId="2" borderId="1" xfId="1" applyNumberFormat="1" applyFont="1" applyFill="1" applyBorder="1" applyAlignment="1">
      <alignment vertical="center" wrapText="1"/>
    </xf>
    <xf numFmtId="0" fontId="26" fillId="2" borderId="1" xfId="0" applyFont="1" applyFill="1" applyBorder="1" applyAlignment="1"/>
    <xf numFmtId="0" fontId="101" fillId="2" borderId="1" xfId="0" applyFont="1" applyFill="1" applyBorder="1" applyAlignment="1"/>
    <xf numFmtId="1" fontId="101" fillId="2" borderId="1" xfId="0" applyNumberFormat="1" applyFont="1" applyFill="1" applyBorder="1" applyAlignment="1"/>
    <xf numFmtId="2" fontId="101" fillId="2" borderId="1" xfId="0" applyNumberFormat="1" applyFont="1" applyFill="1" applyBorder="1" applyAlignment="1"/>
    <xf numFmtId="1" fontId="99" fillId="2" borderId="1" xfId="0" applyNumberFormat="1" applyFont="1" applyFill="1" applyBorder="1" applyAlignment="1"/>
    <xf numFmtId="43" fontId="99" fillId="2" borderId="1" xfId="0" applyNumberFormat="1" applyFont="1" applyFill="1" applyBorder="1"/>
    <xf numFmtId="166" fontId="99" fillId="2" borderId="1" xfId="0" applyNumberFormat="1" applyFont="1" applyFill="1" applyBorder="1"/>
    <xf numFmtId="0" fontId="99" fillId="2" borderId="1" xfId="6" applyFont="1" applyFill="1" applyBorder="1" applyAlignment="1">
      <alignment horizontal="left" vertical="center" wrapText="1"/>
    </xf>
    <xf numFmtId="166" fontId="99" fillId="4" borderId="1" xfId="0" applyNumberFormat="1" applyFont="1" applyFill="1" applyBorder="1"/>
    <xf numFmtId="0" fontId="102" fillId="2" borderId="1" xfId="0" applyFont="1" applyFill="1" applyBorder="1" applyAlignment="1">
      <alignment vertical="center" wrapText="1"/>
    </xf>
    <xf numFmtId="0" fontId="99" fillId="2" borderId="1" xfId="6" applyFont="1" applyFill="1" applyBorder="1" applyAlignment="1">
      <alignment vertical="center" wrapText="1"/>
    </xf>
    <xf numFmtId="0" fontId="102" fillId="2" borderId="1" xfId="0" applyFont="1" applyFill="1" applyBorder="1" applyAlignment="1"/>
    <xf numFmtId="171" fontId="99" fillId="4" borderId="1" xfId="0" applyNumberFormat="1" applyFont="1" applyFill="1" applyBorder="1"/>
    <xf numFmtId="0" fontId="102" fillId="2" borderId="1" xfId="0" applyFont="1" applyFill="1" applyBorder="1" applyAlignment="1">
      <alignment vertical="center"/>
    </xf>
    <xf numFmtId="49" fontId="99" fillId="2" borderId="1" xfId="6" applyNumberFormat="1" applyFont="1" applyFill="1" applyBorder="1" applyAlignment="1">
      <alignment vertical="center" wrapText="1"/>
    </xf>
    <xf numFmtId="49" fontId="99" fillId="2" borderId="1" xfId="6" applyNumberFormat="1" applyFont="1" applyFill="1" applyBorder="1" applyAlignment="1">
      <alignment horizontal="center" vertical="center" wrapText="1"/>
    </xf>
    <xf numFmtId="0" fontId="99" fillId="2" borderId="19" xfId="6" applyFont="1" applyFill="1" applyBorder="1" applyAlignment="1">
      <alignment horizontal="left" vertical="center" wrapText="1"/>
    </xf>
    <xf numFmtId="0" fontId="99" fillId="2" borderId="13" xfId="6" applyFont="1" applyFill="1" applyBorder="1" applyAlignment="1">
      <alignment horizontal="center" vertical="center" wrapText="1"/>
    </xf>
    <xf numFmtId="1" fontId="99" fillId="2" borderId="15" xfId="1" applyNumberFormat="1" applyFont="1" applyFill="1" applyBorder="1"/>
    <xf numFmtId="0" fontId="101" fillId="2" borderId="19" xfId="6" applyFont="1" applyFill="1" applyBorder="1" applyAlignment="1">
      <alignment vertical="center"/>
    </xf>
    <xf numFmtId="0" fontId="101" fillId="2" borderId="13" xfId="6" applyFont="1" applyFill="1" applyBorder="1" applyAlignment="1">
      <alignment vertical="center"/>
    </xf>
    <xf numFmtId="1" fontId="101" fillId="2" borderId="15" xfId="6" applyNumberFormat="1" applyFont="1" applyFill="1" applyBorder="1" applyAlignment="1">
      <alignment vertical="center"/>
    </xf>
    <xf numFmtId="1" fontId="99" fillId="2" borderId="15" xfId="6" applyNumberFormat="1" applyFont="1" applyFill="1" applyBorder="1" applyAlignment="1">
      <alignment vertical="center"/>
    </xf>
    <xf numFmtId="166" fontId="26" fillId="2" borderId="1" xfId="0" applyNumberFormat="1" applyFont="1" applyFill="1" applyBorder="1" applyAlignment="1"/>
    <xf numFmtId="166" fontId="101" fillId="2" borderId="19" xfId="0" applyNumberFormat="1" applyFont="1" applyFill="1" applyBorder="1" applyAlignment="1"/>
    <xf numFmtId="166" fontId="101" fillId="2" borderId="13" xfId="0" applyNumberFormat="1" applyFont="1" applyFill="1" applyBorder="1" applyAlignment="1"/>
    <xf numFmtId="1" fontId="101" fillId="2" borderId="13" xfId="0" applyNumberFormat="1" applyFont="1" applyFill="1" applyBorder="1" applyAlignment="1"/>
    <xf numFmtId="2" fontId="101" fillId="2" borderId="13" xfId="0" applyNumberFormat="1" applyFont="1" applyFill="1" applyBorder="1" applyAlignment="1"/>
    <xf numFmtId="1" fontId="99" fillId="2" borderId="13" xfId="0" applyNumberFormat="1" applyFont="1" applyFill="1" applyBorder="1" applyAlignment="1"/>
    <xf numFmtId="166" fontId="99" fillId="2" borderId="13" xfId="0" applyNumberFormat="1" applyFont="1" applyFill="1" applyBorder="1" applyAlignment="1"/>
    <xf numFmtId="170" fontId="99" fillId="2" borderId="1" xfId="1" applyNumberFormat="1" applyFont="1" applyFill="1" applyBorder="1"/>
    <xf numFmtId="0" fontId="99" fillId="2" borderId="1" xfId="6" quotePrefix="1" applyFont="1" applyFill="1" applyBorder="1" applyAlignment="1">
      <alignment horizontal="center" vertical="center" wrapText="1"/>
    </xf>
    <xf numFmtId="0" fontId="99" fillId="2" borderId="19" xfId="6" applyFont="1" applyFill="1" applyBorder="1" applyAlignment="1">
      <alignment vertical="center"/>
    </xf>
    <xf numFmtId="0" fontId="33" fillId="2" borderId="1" xfId="0" applyFont="1" applyFill="1" applyBorder="1" applyAlignment="1"/>
    <xf numFmtId="1" fontId="25" fillId="2" borderId="1" xfId="6" applyNumberFormat="1" applyFont="1" applyFill="1" applyBorder="1" applyAlignment="1">
      <alignment horizontal="center" vertical="center" wrapText="1"/>
    </xf>
    <xf numFmtId="1" fontId="33" fillId="2" borderId="1" xfId="0" applyNumberFormat="1" applyFont="1" applyFill="1" applyBorder="1" applyAlignment="1"/>
    <xf numFmtId="2" fontId="33" fillId="2" borderId="1" xfId="0" applyNumberFormat="1" applyFont="1" applyFill="1" applyBorder="1" applyAlignment="1"/>
    <xf numFmtId="1" fontId="25" fillId="2" borderId="1" xfId="0" applyNumberFormat="1" applyFont="1" applyFill="1" applyBorder="1" applyAlignment="1"/>
    <xf numFmtId="176" fontId="101" fillId="2" borderId="15" xfId="6" applyNumberFormat="1" applyFont="1" applyFill="1" applyBorder="1" applyAlignment="1">
      <alignment vertical="center"/>
    </xf>
    <xf numFmtId="171" fontId="99" fillId="2" borderId="1" xfId="0" applyNumberFormat="1" applyFont="1" applyFill="1" applyBorder="1"/>
    <xf numFmtId="165" fontId="101" fillId="2" borderId="1" xfId="1" applyFont="1" applyFill="1" applyBorder="1"/>
    <xf numFmtId="2" fontId="101" fillId="2" borderId="1" xfId="1" applyNumberFormat="1" applyFont="1" applyFill="1" applyBorder="1" applyAlignment="1"/>
    <xf numFmtId="0" fontId="62" fillId="2" borderId="0" xfId="0" applyFont="1" applyFill="1" applyBorder="1" applyAlignment="1">
      <alignment horizontal="center"/>
    </xf>
    <xf numFmtId="0" fontId="32" fillId="2" borderId="0" xfId="0" applyFont="1" applyFill="1" applyBorder="1"/>
    <xf numFmtId="0" fontId="24" fillId="2" borderId="0" xfId="0" applyFont="1" applyFill="1" applyBorder="1" applyAlignment="1"/>
    <xf numFmtId="166" fontId="20" fillId="2" borderId="0" xfId="1" applyNumberFormat="1" applyFont="1" applyFill="1" applyBorder="1" applyAlignment="1">
      <alignment vertical="center" wrapText="1"/>
    </xf>
    <xf numFmtId="165" fontId="20" fillId="2" borderId="0" xfId="1" applyFont="1" applyFill="1" applyBorder="1" applyAlignment="1">
      <alignment vertical="center" wrapText="1"/>
    </xf>
    <xf numFmtId="164" fontId="20" fillId="2" borderId="0" xfId="3" applyFont="1" applyFill="1" applyBorder="1" applyAlignment="1">
      <alignment vertical="center" wrapText="1"/>
    </xf>
    <xf numFmtId="166" fontId="31" fillId="2" borderId="0" xfId="1" applyNumberFormat="1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166" fontId="20" fillId="2" borderId="0" xfId="1" quotePrefix="1" applyNumberFormat="1" applyFont="1" applyFill="1" applyBorder="1" applyAlignment="1">
      <alignment vertical="center" wrapText="1"/>
    </xf>
    <xf numFmtId="166" fontId="60" fillId="2" borderId="0" xfId="1" applyNumberFormat="1" applyFont="1" applyFill="1" applyBorder="1" applyAlignment="1">
      <alignment vertical="center" wrapText="1"/>
    </xf>
    <xf numFmtId="0" fontId="63" fillId="2" borderId="0" xfId="0" applyFont="1" applyFill="1" applyBorder="1" applyAlignment="1"/>
    <xf numFmtId="165" fontId="60" fillId="2" borderId="0" xfId="1" applyFont="1" applyFill="1" applyBorder="1" applyAlignment="1">
      <alignment vertical="center" wrapText="1"/>
    </xf>
    <xf numFmtId="0" fontId="60" fillId="2" borderId="0" xfId="0" applyFont="1" applyFill="1" applyBorder="1" applyAlignment="1">
      <alignment vertical="center" wrapText="1"/>
    </xf>
    <xf numFmtId="166" fontId="35" fillId="2" borderId="0" xfId="1" applyNumberFormat="1" applyFont="1" applyFill="1" applyBorder="1" applyAlignment="1">
      <alignment vertical="center" wrapText="1"/>
    </xf>
    <xf numFmtId="166" fontId="35" fillId="2" borderId="0" xfId="1" applyNumberFormat="1" applyFont="1" applyFill="1" applyBorder="1" applyAlignment="1">
      <alignment horizontal="center" vertical="center" wrapText="1"/>
    </xf>
    <xf numFmtId="167" fontId="64" fillId="2" borderId="0" xfId="1" applyNumberFormat="1" applyFont="1" applyFill="1" applyBorder="1" applyAlignment="1">
      <alignment vertical="center" wrapText="1"/>
    </xf>
    <xf numFmtId="167" fontId="64" fillId="2" borderId="0" xfId="1" applyNumberFormat="1" applyFont="1" applyFill="1" applyBorder="1" applyAlignment="1">
      <alignment horizontal="center" vertical="center" wrapText="1"/>
    </xf>
    <xf numFmtId="166" fontId="64" fillId="2" borderId="0" xfId="1" applyNumberFormat="1" applyFont="1" applyFill="1" applyBorder="1" applyAlignment="1">
      <alignment horizontal="center" vertical="center" wrapText="1"/>
    </xf>
    <xf numFmtId="166" fontId="64" fillId="2" borderId="0" xfId="1" applyNumberFormat="1" applyFont="1" applyFill="1" applyBorder="1" applyAlignment="1">
      <alignment vertical="center" wrapText="1"/>
    </xf>
    <xf numFmtId="166" fontId="12" fillId="2" borderId="0" xfId="1" applyNumberFormat="1" applyFont="1" applyFill="1" applyBorder="1" applyAlignment="1">
      <alignment horizontal="center" vertical="top" wrapText="1"/>
    </xf>
    <xf numFmtId="166" fontId="32" fillId="2" borderId="0" xfId="1" applyNumberFormat="1" applyFont="1" applyFill="1" applyBorder="1" applyAlignment="1">
      <alignment horizontal="center" vertical="top" wrapText="1"/>
    </xf>
    <xf numFmtId="165" fontId="65" fillId="2" borderId="0" xfId="1" applyFont="1" applyFill="1" applyBorder="1" applyAlignment="1">
      <alignment vertical="center" wrapText="1"/>
    </xf>
    <xf numFmtId="0" fontId="38" fillId="2" borderId="0" xfId="0" applyFont="1" applyFill="1" applyBorder="1" applyAlignment="1">
      <alignment horizontal="center"/>
    </xf>
    <xf numFmtId="166" fontId="38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/>
    </xf>
    <xf numFmtId="166" fontId="27" fillId="2" borderId="0" xfId="0" applyNumberFormat="1" applyFont="1" applyFill="1" applyBorder="1" applyAlignment="1">
      <alignment horizontal="center" vertical="center"/>
    </xf>
    <xf numFmtId="0" fontId="66" fillId="2" borderId="0" xfId="0" applyFont="1" applyFill="1" applyBorder="1" applyAlignment="1">
      <alignment horizontal="center"/>
    </xf>
    <xf numFmtId="166" fontId="62" fillId="2" borderId="0" xfId="0" applyNumberFormat="1" applyFont="1" applyFill="1" applyBorder="1"/>
    <xf numFmtId="165" fontId="67" fillId="2" borderId="0" xfId="1" applyFont="1" applyFill="1" applyBorder="1" applyAlignment="1"/>
    <xf numFmtId="43" fontId="68" fillId="2" borderId="0" xfId="0" applyNumberFormat="1" applyFont="1" applyFill="1" applyBorder="1"/>
    <xf numFmtId="167" fontId="68" fillId="2" borderId="0" xfId="1" applyNumberFormat="1" applyFont="1" applyFill="1" applyBorder="1"/>
    <xf numFmtId="166" fontId="68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24" fillId="2" borderId="0" xfId="0" applyNumberFormat="1" applyFont="1" applyFill="1" applyBorder="1" applyAlignment="1">
      <alignment horizontal="left" vertical="center" wrapText="1"/>
    </xf>
    <xf numFmtId="165" fontId="54" fillId="2" borderId="0" xfId="1" applyFont="1" applyFill="1" applyBorder="1"/>
    <xf numFmtId="43" fontId="54" fillId="2" borderId="0" xfId="0" applyNumberFormat="1" applyFont="1" applyFill="1" applyBorder="1"/>
    <xf numFmtId="167" fontId="54" fillId="2" borderId="0" xfId="1" applyNumberFormat="1" applyFont="1" applyFill="1" applyBorder="1"/>
    <xf numFmtId="166" fontId="54" fillId="2" borderId="0" xfId="0" applyNumberFormat="1" applyFont="1" applyFill="1" applyBorder="1"/>
    <xf numFmtId="0" fontId="24" fillId="2" borderId="0" xfId="0" applyFont="1" applyFill="1" applyBorder="1"/>
    <xf numFmtId="165" fontId="64" fillId="2" borderId="0" xfId="1" applyFont="1" applyFill="1" applyBorder="1" applyAlignment="1">
      <alignment vertical="center" wrapText="1"/>
    </xf>
    <xf numFmtId="165" fontId="64" fillId="2" borderId="0" xfId="1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/>
    </xf>
    <xf numFmtId="0" fontId="62" fillId="2" borderId="0" xfId="0" applyNumberFormat="1" applyFont="1" applyFill="1" applyBorder="1"/>
    <xf numFmtId="165" fontId="67" fillId="2" borderId="0" xfId="1" applyFont="1" applyFill="1" applyBorder="1" applyAlignment="1">
      <alignment vertical="center" wrapText="1"/>
    </xf>
    <xf numFmtId="165" fontId="67" fillId="2" borderId="0" xfId="1" applyFont="1" applyFill="1" applyBorder="1" applyAlignment="1">
      <alignment horizontal="center" vertical="center" wrapText="1"/>
    </xf>
    <xf numFmtId="0" fontId="69" fillId="2" borderId="0" xfId="0" applyFont="1" applyFill="1" applyBorder="1" applyAlignment="1">
      <alignment horizontal="center"/>
    </xf>
    <xf numFmtId="0" fontId="38" fillId="2" borderId="0" xfId="0" applyNumberFormat="1" applyFont="1" applyFill="1" applyBorder="1" applyAlignment="1">
      <alignment horizontal="center"/>
    </xf>
    <xf numFmtId="0" fontId="24" fillId="2" borderId="0" xfId="0" applyNumberFormat="1" applyFont="1" applyFill="1" applyBorder="1"/>
    <xf numFmtId="170" fontId="68" fillId="2" borderId="0" xfId="1" applyNumberFormat="1" applyFont="1" applyFill="1" applyBorder="1"/>
    <xf numFmtId="166" fontId="29" fillId="2" borderId="0" xfId="0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0" fontId="62" fillId="2" borderId="0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165" fontId="70" fillId="2" borderId="0" xfId="1" applyFont="1" applyFill="1" applyBorder="1"/>
    <xf numFmtId="165" fontId="71" fillId="2" borderId="0" xfId="1" applyFont="1" applyFill="1" applyBorder="1"/>
    <xf numFmtId="0" fontId="71" fillId="2" borderId="0" xfId="0" applyFont="1" applyFill="1" applyBorder="1"/>
    <xf numFmtId="166" fontId="71" fillId="2" borderId="0" xfId="0" applyNumberFormat="1" applyFont="1" applyFill="1" applyBorder="1"/>
    <xf numFmtId="165" fontId="63" fillId="2" borderId="0" xfId="1" applyFont="1" applyFill="1" applyBorder="1"/>
    <xf numFmtId="0" fontId="63" fillId="2" borderId="0" xfId="0" applyFont="1" applyFill="1" applyBorder="1"/>
    <xf numFmtId="166" fontId="63" fillId="2" borderId="0" xfId="0" applyNumberFormat="1" applyFont="1" applyFill="1" applyBorder="1" applyAlignment="1"/>
    <xf numFmtId="166" fontId="1" fillId="0" borderId="10" xfId="1" applyNumberFormat="1" applyFont="1" applyFill="1" applyBorder="1" applyAlignment="1">
      <alignment vertical="top" wrapText="1"/>
    </xf>
    <xf numFmtId="166" fontId="55" fillId="5" borderId="24" xfId="0" applyNumberFormat="1" applyFont="1" applyFill="1" applyBorder="1" applyAlignment="1">
      <alignment horizontal="left" vertical="center" wrapText="1"/>
    </xf>
    <xf numFmtId="166" fontId="103" fillId="0" borderId="25" xfId="0" applyNumberFormat="1" applyFont="1" applyBorder="1" applyAlignment="1">
      <alignment horizontal="right" vertical="center" wrapText="1"/>
    </xf>
    <xf numFmtId="166" fontId="55" fillId="5" borderId="26" xfId="0" applyNumberFormat="1" applyFont="1" applyFill="1" applyBorder="1" applyAlignment="1">
      <alignment horizontal="left" vertical="center" wrapText="1"/>
    </xf>
    <xf numFmtId="166" fontId="55" fillId="5" borderId="1" xfId="0" applyNumberFormat="1" applyFont="1" applyFill="1" applyBorder="1" applyAlignment="1">
      <alignment horizontal="left" vertical="center" wrapText="1"/>
    </xf>
    <xf numFmtId="166" fontId="104" fillId="0" borderId="24" xfId="0" applyNumberFormat="1" applyFont="1" applyBorder="1"/>
    <xf numFmtId="0" fontId="104" fillId="0" borderId="24" xfId="0" applyFont="1" applyBorder="1"/>
    <xf numFmtId="166" fontId="55" fillId="5" borderId="10" xfId="0" applyNumberFormat="1" applyFont="1" applyFill="1" applyBorder="1" applyAlignment="1">
      <alignment horizontal="left" vertical="center" wrapText="1"/>
    </xf>
    <xf numFmtId="0" fontId="104" fillId="0" borderId="26" xfId="0" applyFont="1" applyBorder="1"/>
    <xf numFmtId="166" fontId="104" fillId="0" borderId="1" xfId="0" applyNumberFormat="1" applyFont="1" applyBorder="1"/>
    <xf numFmtId="166" fontId="1" fillId="0" borderId="1" xfId="0" applyNumberFormat="1" applyFont="1" applyFill="1" applyBorder="1"/>
    <xf numFmtId="0" fontId="25" fillId="0" borderId="1" xfId="0" applyFont="1" applyBorder="1"/>
    <xf numFmtId="166" fontId="20" fillId="0" borderId="1" xfId="0" applyNumberFormat="1" applyFont="1" applyBorder="1"/>
    <xf numFmtId="0" fontId="25" fillId="0" borderId="1" xfId="0" applyFont="1" applyBorder="1" applyAlignment="1">
      <alignment horizontal="center"/>
    </xf>
    <xf numFmtId="166" fontId="25" fillId="0" borderId="1" xfId="0" applyNumberFormat="1" applyFont="1" applyBorder="1"/>
    <xf numFmtId="179" fontId="19" fillId="0" borderId="1" xfId="0" applyNumberFormat="1" applyFont="1" applyBorder="1" applyAlignment="1">
      <alignment horizontal="right" vertical="center" wrapText="1"/>
    </xf>
    <xf numFmtId="0" fontId="99" fillId="2" borderId="21" xfId="6" applyFont="1" applyFill="1" applyBorder="1" applyAlignment="1">
      <alignment horizontal="center" vertical="center"/>
    </xf>
    <xf numFmtId="166" fontId="24" fillId="0" borderId="1" xfId="1" applyNumberFormat="1" applyFont="1" applyFill="1" applyBorder="1" applyAlignment="1">
      <alignment horizontal="center" vertical="center" wrapText="1"/>
    </xf>
    <xf numFmtId="165" fontId="21" fillId="0" borderId="0" xfId="1" applyFont="1" applyFill="1" applyAlignment="1">
      <alignment horizontal="center"/>
    </xf>
    <xf numFmtId="0" fontId="32" fillId="0" borderId="0" xfId="0" applyNumberFormat="1" applyFont="1" applyAlignment="1">
      <alignment horizontal="center"/>
    </xf>
    <xf numFmtId="166" fontId="19" fillId="0" borderId="1" xfId="1" applyNumberFormat="1" applyFont="1" applyFill="1" applyBorder="1" applyAlignment="1">
      <alignment horizontal="center" vertical="center" wrapText="1"/>
    </xf>
    <xf numFmtId="166" fontId="19" fillId="0" borderId="14" xfId="1" applyNumberFormat="1" applyFont="1" applyFill="1" applyBorder="1" applyAlignment="1">
      <alignment horizontal="center" vertical="center" wrapText="1"/>
    </xf>
    <xf numFmtId="166" fontId="27" fillId="0" borderId="0" xfId="1" applyNumberFormat="1" applyFont="1" applyFill="1" applyAlignment="1">
      <alignment horizontal="center"/>
    </xf>
    <xf numFmtId="0" fontId="20" fillId="0" borderId="8" xfId="15" applyFont="1" applyBorder="1" applyAlignment="1">
      <alignment horizontal="center" vertical="center" wrapText="1"/>
    </xf>
    <xf numFmtId="0" fontId="33" fillId="0" borderId="0" xfId="15" applyFont="1" applyAlignment="1">
      <alignment horizontal="center"/>
    </xf>
    <xf numFmtId="0" fontId="20" fillId="0" borderId="4" xfId="15" applyFont="1" applyBorder="1" applyAlignment="1">
      <alignment horizontal="center" vertical="center" wrapText="1"/>
    </xf>
    <xf numFmtId="0" fontId="26" fillId="0" borderId="0" xfId="15" applyFont="1" applyAlignment="1">
      <alignment horizontal="center"/>
    </xf>
    <xf numFmtId="166" fontId="35" fillId="0" borderId="8" xfId="1" applyNumberFormat="1" applyFont="1" applyFill="1" applyBorder="1" applyAlignment="1">
      <alignment horizontal="center" vertical="center" wrapText="1"/>
    </xf>
    <xf numFmtId="165" fontId="35" fillId="0" borderId="1" xfId="1" applyFont="1" applyFill="1" applyBorder="1" applyAlignment="1">
      <alignment horizontal="center" vertical="center" wrapText="1"/>
    </xf>
    <xf numFmtId="166" fontId="25" fillId="0" borderId="0" xfId="1" applyNumberFormat="1" applyFont="1" applyFill="1" applyBorder="1"/>
    <xf numFmtId="166" fontId="51" fillId="0" borderId="1" xfId="1" applyNumberFormat="1" applyFont="1" applyFill="1" applyBorder="1" applyAlignment="1">
      <alignment horizontal="center"/>
    </xf>
    <xf numFmtId="166" fontId="38" fillId="0" borderId="1" xfId="1" applyNumberFormat="1" applyFont="1" applyFill="1" applyBorder="1" applyAlignment="1">
      <alignment horizontal="left"/>
    </xf>
    <xf numFmtId="166" fontId="19" fillId="0" borderId="1" xfId="1" applyNumberFormat="1" applyFont="1" applyFill="1" applyBorder="1" applyAlignment="1">
      <alignment horizontal="left"/>
    </xf>
    <xf numFmtId="166" fontId="19" fillId="0" borderId="1" xfId="1" applyNumberFormat="1" applyFont="1" applyFill="1" applyBorder="1"/>
    <xf numFmtId="4" fontId="20" fillId="0" borderId="1" xfId="0" applyNumberFormat="1" applyFont="1" applyBorder="1" applyAlignment="1">
      <alignment horizontal="right" vertical="center" wrapText="1"/>
    </xf>
    <xf numFmtId="179" fontId="20" fillId="0" borderId="1" xfId="0" applyNumberFormat="1" applyFont="1" applyBorder="1" applyAlignment="1">
      <alignment horizontal="right" vertical="center" wrapText="1"/>
    </xf>
    <xf numFmtId="165" fontId="19" fillId="0" borderId="1" xfId="0" applyNumberFormat="1" applyFont="1" applyFill="1" applyBorder="1"/>
    <xf numFmtId="43" fontId="19" fillId="0" borderId="1" xfId="0" applyNumberFormat="1" applyFont="1" applyFill="1" applyBorder="1"/>
    <xf numFmtId="167" fontId="24" fillId="0" borderId="17" xfId="1" applyNumberFormat="1" applyFont="1" applyFill="1" applyBorder="1" applyAlignment="1">
      <alignment horizontal="center" vertical="center" wrapText="1"/>
    </xf>
    <xf numFmtId="167" fontId="24" fillId="0" borderId="21" xfId="1" applyNumberFormat="1" applyFont="1" applyFill="1" applyBorder="1" applyAlignment="1">
      <alignment horizontal="center" vertical="center" wrapText="1"/>
    </xf>
    <xf numFmtId="167" fontId="24" fillId="0" borderId="18" xfId="1" applyNumberFormat="1" applyFont="1" applyFill="1" applyBorder="1" applyAlignment="1">
      <alignment horizontal="center" vertical="center" wrapText="1"/>
    </xf>
    <xf numFmtId="167" fontId="24" fillId="0" borderId="23" xfId="1" applyNumberFormat="1" applyFont="1" applyFill="1" applyBorder="1" applyAlignment="1">
      <alignment horizontal="center" vertical="center" wrapText="1"/>
    </xf>
    <xf numFmtId="0" fontId="92" fillId="0" borderId="10" xfId="0" applyFont="1" applyBorder="1" applyAlignment="1">
      <alignment horizontal="center" vertical="center" wrapText="1"/>
    </xf>
    <xf numFmtId="0" fontId="92" fillId="0" borderId="8" xfId="0" applyFont="1" applyBorder="1" applyAlignment="1">
      <alignment horizontal="center" vertical="center" wrapText="1"/>
    </xf>
    <xf numFmtId="0" fontId="26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>
      <alignment horizontal="center"/>
    </xf>
    <xf numFmtId="165" fontId="33" fillId="0" borderId="0" xfId="1" applyFont="1" applyFill="1" applyAlignment="1">
      <alignment horizontal="center" vertical="center"/>
    </xf>
    <xf numFmtId="165" fontId="44" fillId="0" borderId="0" xfId="1" applyFont="1" applyFill="1" applyAlignment="1">
      <alignment horizontal="center"/>
    </xf>
    <xf numFmtId="166" fontId="33" fillId="0" borderId="0" xfId="1" applyNumberFormat="1" applyFont="1" applyFill="1" applyAlignment="1">
      <alignment horizontal="center"/>
    </xf>
    <xf numFmtId="165" fontId="36" fillId="0" borderId="12" xfId="1" applyFont="1" applyFill="1" applyBorder="1" applyAlignment="1">
      <alignment horizontal="center"/>
    </xf>
    <xf numFmtId="165" fontId="24" fillId="0" borderId="19" xfId="1" applyFont="1" applyFill="1" applyBorder="1" applyAlignment="1">
      <alignment horizontal="center" vertical="center" wrapText="1"/>
    </xf>
    <xf numFmtId="165" fontId="24" fillId="0" borderId="13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166" fontId="35" fillId="0" borderId="0" xfId="1" applyNumberFormat="1" applyFont="1" applyFill="1" applyBorder="1" applyAlignment="1">
      <alignment horizontal="left" vertical="center" wrapText="1"/>
    </xf>
    <xf numFmtId="166" fontId="8" fillId="0" borderId="0" xfId="1" applyNumberFormat="1" applyFont="1" applyFill="1" applyBorder="1" applyAlignment="1">
      <alignment horizontal="left" vertical="center" wrapText="1"/>
    </xf>
    <xf numFmtId="165" fontId="10" fillId="0" borderId="0" xfId="1" applyFont="1" applyFill="1" applyBorder="1" applyAlignment="1">
      <alignment horizontal="center"/>
    </xf>
    <xf numFmtId="166" fontId="24" fillId="0" borderId="4" xfId="1" applyNumberFormat="1" applyFont="1" applyFill="1" applyBorder="1" applyAlignment="1">
      <alignment horizontal="center" vertical="center" wrapText="1"/>
    </xf>
    <xf numFmtId="166" fontId="24" fillId="0" borderId="1" xfId="1" applyNumberFormat="1" applyFont="1" applyFill="1" applyBorder="1" applyAlignment="1">
      <alignment horizontal="center" vertical="center" wrapText="1"/>
    </xf>
    <xf numFmtId="165" fontId="24" fillId="0" borderId="4" xfId="1" applyFont="1" applyFill="1" applyBorder="1" applyAlignment="1">
      <alignment horizontal="center" vertical="center" wrapText="1"/>
    </xf>
    <xf numFmtId="165" fontId="24" fillId="0" borderId="1" xfId="1" applyFont="1" applyFill="1" applyBorder="1" applyAlignment="1">
      <alignment horizontal="center" vertical="center" wrapText="1"/>
    </xf>
    <xf numFmtId="165" fontId="24" fillId="0" borderId="11" xfId="1" applyFont="1" applyFill="1" applyBorder="1" applyAlignment="1">
      <alignment horizontal="center" vertical="center" wrapText="1"/>
    </xf>
    <xf numFmtId="165" fontId="24" fillId="0" borderId="0" xfId="1" applyFont="1" applyFill="1" applyBorder="1" applyAlignment="1">
      <alignment horizontal="center" vertical="center" wrapText="1"/>
    </xf>
    <xf numFmtId="165" fontId="24" fillId="0" borderId="20" xfId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165" fontId="24" fillId="0" borderId="15" xfId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26" fillId="0" borderId="0" xfId="0" applyNumberFormat="1" applyFont="1" applyFill="1" applyAlignment="1">
      <alignment horizontal="left"/>
    </xf>
    <xf numFmtId="166" fontId="27" fillId="0" borderId="0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6" fontId="51" fillId="0" borderId="0" xfId="1" applyNumberFormat="1" applyFont="1" applyFill="1" applyBorder="1" applyAlignment="1">
      <alignment horizontal="center"/>
    </xf>
    <xf numFmtId="166" fontId="32" fillId="0" borderId="0" xfId="1" applyNumberFormat="1" applyFont="1" applyFill="1" applyAlignment="1">
      <alignment horizontal="center"/>
    </xf>
    <xf numFmtId="166" fontId="38" fillId="0" borderId="0" xfId="1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left"/>
    </xf>
    <xf numFmtId="166" fontId="36" fillId="0" borderId="12" xfId="1" applyNumberFormat="1" applyFont="1" applyFill="1" applyBorder="1" applyAlignment="1">
      <alignment horizontal="center"/>
    </xf>
    <xf numFmtId="166" fontId="27" fillId="0" borderId="0" xfId="1" applyNumberFormat="1" applyFont="1" applyFill="1" applyAlignment="1">
      <alignment horizontal="center"/>
    </xf>
    <xf numFmtId="166" fontId="26" fillId="0" borderId="0" xfId="1" applyNumberFormat="1" applyFont="1" applyFill="1" applyAlignment="1">
      <alignment horizontal="center" vertical="center" wrapText="1"/>
    </xf>
    <xf numFmtId="166" fontId="19" fillId="0" borderId="19" xfId="1" applyNumberFormat="1" applyFont="1" applyFill="1" applyBorder="1" applyAlignment="1">
      <alignment horizontal="center" vertical="center" wrapText="1"/>
    </xf>
    <xf numFmtId="166" fontId="19" fillId="0" borderId="15" xfId="1" applyNumberFormat="1" applyFont="1" applyFill="1" applyBorder="1" applyAlignment="1">
      <alignment horizontal="center" vertical="center" wrapText="1"/>
    </xf>
    <xf numFmtId="166" fontId="19" fillId="0" borderId="13" xfId="1" applyNumberFormat="1" applyFont="1" applyFill="1" applyBorder="1" applyAlignment="1">
      <alignment horizontal="center" vertical="center" wrapText="1"/>
    </xf>
    <xf numFmtId="166" fontId="19" fillId="0" borderId="1" xfId="1" applyNumberFormat="1" applyFont="1" applyFill="1" applyBorder="1" applyAlignment="1">
      <alignment horizontal="center" vertical="center" wrapText="1"/>
    </xf>
    <xf numFmtId="166" fontId="19" fillId="0" borderId="10" xfId="1" applyNumberFormat="1" applyFont="1" applyFill="1" applyBorder="1" applyAlignment="1">
      <alignment horizontal="center" vertical="center" wrapText="1"/>
    </xf>
    <xf numFmtId="166" fontId="19" fillId="0" borderId="8" xfId="1" applyNumberFormat="1" applyFont="1" applyFill="1" applyBorder="1" applyAlignment="1">
      <alignment horizontal="center" vertical="center" wrapText="1"/>
    </xf>
    <xf numFmtId="166" fontId="19" fillId="0" borderId="4" xfId="1" applyNumberFormat="1" applyFont="1" applyFill="1" applyBorder="1" applyAlignment="1">
      <alignment horizontal="center" vertical="center" wrapText="1"/>
    </xf>
    <xf numFmtId="0" fontId="27" fillId="0" borderId="0" xfId="0" quotePrefix="1" applyFont="1" applyAlignment="1">
      <alignment horizontal="left"/>
    </xf>
    <xf numFmtId="0" fontId="32" fillId="0" borderId="0" xfId="0" applyNumberFormat="1" applyFont="1" applyAlignment="1">
      <alignment horizontal="center"/>
    </xf>
    <xf numFmtId="0" fontId="24" fillId="2" borderId="0" xfId="0" applyFont="1" applyFill="1" applyBorder="1" applyAlignment="1">
      <alignment horizontal="center"/>
    </xf>
    <xf numFmtId="165" fontId="24" fillId="2" borderId="0" xfId="1" applyFont="1" applyFill="1" applyBorder="1" applyAlignment="1">
      <alignment horizontal="center"/>
    </xf>
    <xf numFmtId="166" fontId="19" fillId="2" borderId="8" xfId="1" applyNumberFormat="1" applyFont="1" applyFill="1" applyBorder="1" applyAlignment="1">
      <alignment horizontal="center" vertical="center" wrapText="1"/>
    </xf>
    <xf numFmtId="166" fontId="19" fillId="2" borderId="4" xfId="1" applyNumberFormat="1" applyFont="1" applyFill="1" applyBorder="1" applyAlignment="1">
      <alignment horizontal="center" vertical="center" wrapText="1"/>
    </xf>
    <xf numFmtId="0" fontId="101" fillId="2" borderId="1" xfId="0" applyNumberFormat="1" applyFont="1" applyFill="1" applyBorder="1" applyAlignment="1">
      <alignment horizontal="center" vertical="center" wrapText="1"/>
    </xf>
    <xf numFmtId="0" fontId="24" fillId="2" borderId="14" xfId="0" applyNumberFormat="1" applyFont="1" applyFill="1" applyBorder="1" applyAlignment="1">
      <alignment horizontal="center" vertical="center" wrapText="1"/>
    </xf>
    <xf numFmtId="165" fontId="19" fillId="2" borderId="10" xfId="1" applyFont="1" applyFill="1" applyBorder="1" applyAlignment="1">
      <alignment horizontal="center" vertical="center" wrapText="1"/>
    </xf>
    <xf numFmtId="165" fontId="19" fillId="2" borderId="8" xfId="1" applyFont="1" applyFill="1" applyBorder="1" applyAlignment="1">
      <alignment horizontal="center" vertical="center" wrapText="1"/>
    </xf>
    <xf numFmtId="165" fontId="19" fillId="2" borderId="4" xfId="1" applyFont="1" applyFill="1" applyBorder="1" applyAlignment="1">
      <alignment horizontal="center" vertical="center" wrapText="1"/>
    </xf>
    <xf numFmtId="166" fontId="19" fillId="2" borderId="10" xfId="1" applyNumberFormat="1" applyFont="1" applyFill="1" applyBorder="1" applyAlignment="1">
      <alignment horizontal="center" vertical="center" wrapText="1"/>
    </xf>
    <xf numFmtId="0" fontId="19" fillId="2" borderId="4" xfId="0" applyFont="1" applyFill="1" applyBorder="1"/>
    <xf numFmtId="166" fontId="30" fillId="2" borderId="12" xfId="1" applyNumberFormat="1" applyFont="1" applyFill="1" applyBorder="1" applyAlignment="1">
      <alignment horizontal="center"/>
    </xf>
    <xf numFmtId="164" fontId="19" fillId="2" borderId="1" xfId="3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66" fontId="26" fillId="2" borderId="1" xfId="1" applyNumberFormat="1" applyFont="1" applyFill="1" applyBorder="1" applyAlignment="1">
      <alignment horizontal="left" vertical="top" wrapText="1"/>
    </xf>
    <xf numFmtId="166" fontId="19" fillId="2" borderId="19" xfId="1" applyNumberFormat="1" applyFont="1" applyFill="1" applyBorder="1" applyAlignment="1">
      <alignment horizontal="center" vertical="center" wrapText="1"/>
    </xf>
    <xf numFmtId="166" fontId="19" fillId="2" borderId="15" xfId="1" applyNumberFormat="1" applyFont="1" applyFill="1" applyBorder="1" applyAlignment="1">
      <alignment horizontal="center" vertical="center" wrapText="1"/>
    </xf>
    <xf numFmtId="165" fontId="19" fillId="2" borderId="1" xfId="1" applyFont="1" applyFill="1" applyBorder="1" applyAlignment="1">
      <alignment horizontal="center" vertical="center" wrapText="1"/>
    </xf>
    <xf numFmtId="165" fontId="19" fillId="2" borderId="17" xfId="1" applyFont="1" applyFill="1" applyBorder="1" applyAlignment="1">
      <alignment horizontal="center" vertical="center" wrapText="1"/>
    </xf>
    <xf numFmtId="165" fontId="19" fillId="2" borderId="11" xfId="1" applyFont="1" applyFill="1" applyBorder="1" applyAlignment="1">
      <alignment horizontal="center" vertical="center" wrapText="1"/>
    </xf>
    <xf numFmtId="165" fontId="19" fillId="2" borderId="18" xfId="1" applyFont="1" applyFill="1" applyBorder="1" applyAlignment="1">
      <alignment horizontal="center" vertical="center" wrapText="1"/>
    </xf>
    <xf numFmtId="166" fontId="19" fillId="2" borderId="1" xfId="1" applyNumberFormat="1" applyFont="1" applyFill="1" applyBorder="1" applyAlignment="1">
      <alignment horizontal="center" vertical="center" wrapText="1"/>
    </xf>
    <xf numFmtId="165" fontId="19" fillId="2" borderId="13" xfId="1" applyFont="1" applyFill="1" applyBorder="1" applyAlignment="1">
      <alignment horizontal="center" vertical="center" wrapText="1"/>
    </xf>
    <xf numFmtId="165" fontId="19" fillId="2" borderId="19" xfId="1" applyFont="1" applyFill="1" applyBorder="1" applyAlignment="1">
      <alignment horizontal="center" vertical="center" wrapText="1"/>
    </xf>
    <xf numFmtId="0" fontId="19" fillId="2" borderId="13" xfId="0" applyFont="1" applyFill="1" applyBorder="1"/>
    <xf numFmtId="165" fontId="19" fillId="2" borderId="14" xfId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26" fillId="2" borderId="0" xfId="0" applyNumberFormat="1" applyFont="1" applyFill="1" applyAlignment="1">
      <alignment horizontal="center"/>
    </xf>
    <xf numFmtId="166" fontId="30" fillId="2" borderId="0" xfId="1" applyNumberFormat="1" applyFont="1" applyFill="1" applyAlignment="1">
      <alignment horizontal="center"/>
    </xf>
    <xf numFmtId="0" fontId="26" fillId="2" borderId="0" xfId="0" applyNumberFormat="1" applyFont="1" applyFill="1" applyAlignment="1">
      <alignment horizontal="left"/>
    </xf>
    <xf numFmtId="166" fontId="26" fillId="2" borderId="0" xfId="1" applyNumberFormat="1" applyFont="1" applyFill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34" fillId="0" borderId="0" xfId="0" applyNumberFormat="1" applyFont="1" applyAlignment="1">
      <alignment horizontal="center"/>
    </xf>
    <xf numFmtId="0" fontId="32" fillId="0" borderId="10" xfId="0" applyNumberFormat="1" applyFont="1" applyBorder="1" applyAlignment="1">
      <alignment horizontal="center" vertical="center" wrapText="1"/>
    </xf>
    <xf numFmtId="0" fontId="32" fillId="0" borderId="4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27" fillId="0" borderId="12" xfId="0" applyFont="1" applyBorder="1" applyAlignment="1">
      <alignment horizontal="center"/>
    </xf>
    <xf numFmtId="166" fontId="7" fillId="0" borderId="12" xfId="1" applyNumberFormat="1" applyFont="1" applyFill="1" applyBorder="1" applyAlignment="1">
      <alignment horizontal="center"/>
    </xf>
    <xf numFmtId="166" fontId="35" fillId="0" borderId="14" xfId="1" applyNumberFormat="1" applyFont="1" applyFill="1" applyBorder="1" applyAlignment="1">
      <alignment horizontal="left" vertical="center" wrapText="1"/>
    </xf>
    <xf numFmtId="166" fontId="8" fillId="0" borderId="14" xfId="1" applyNumberFormat="1" applyFont="1" applyFill="1" applyBorder="1" applyAlignment="1">
      <alignment horizontal="left" vertical="center" wrapText="1"/>
    </xf>
    <xf numFmtId="166" fontId="24" fillId="0" borderId="0" xfId="1" applyNumberFormat="1" applyFont="1" applyFill="1" applyBorder="1" applyAlignment="1">
      <alignment horizontal="center"/>
    </xf>
    <xf numFmtId="166" fontId="1" fillId="0" borderId="14" xfId="1" applyNumberFormat="1" applyFont="1" applyFill="1" applyBorder="1" applyAlignment="1">
      <alignment horizontal="center"/>
    </xf>
    <xf numFmtId="166" fontId="21" fillId="0" borderId="0" xfId="1" applyNumberFormat="1" applyFont="1" applyFill="1" applyAlignment="1">
      <alignment horizontal="center"/>
    </xf>
    <xf numFmtId="166" fontId="52" fillId="0" borderId="0" xfId="1" applyNumberFormat="1" applyFont="1" applyFill="1" applyAlignment="1">
      <alignment horizontal="center"/>
    </xf>
    <xf numFmtId="166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32" fillId="0" borderId="0" xfId="0" applyFont="1" applyAlignment="1">
      <alignment horizontal="center"/>
    </xf>
    <xf numFmtId="166" fontId="21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32" fillId="0" borderId="0" xfId="6" applyNumberFormat="1" applyFont="1" applyAlignment="1">
      <alignment horizontal="center"/>
    </xf>
    <xf numFmtId="0" fontId="33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15" fillId="0" borderId="0" xfId="6" applyFont="1" applyAlignment="1">
      <alignment horizontal="center"/>
    </xf>
    <xf numFmtId="166" fontId="53" fillId="0" borderId="11" xfId="0" applyNumberFormat="1" applyFont="1" applyBorder="1" applyAlignment="1">
      <alignment horizontal="center"/>
    </xf>
    <xf numFmtId="166" fontId="53" fillId="0" borderId="0" xfId="0" applyNumberFormat="1" applyFont="1" applyBorder="1" applyAlignment="1">
      <alignment horizontal="center"/>
    </xf>
    <xf numFmtId="166" fontId="24" fillId="0" borderId="11" xfId="0" applyNumberFormat="1" applyFont="1" applyBorder="1" applyAlignment="1">
      <alignment horizontal="center"/>
    </xf>
    <xf numFmtId="166" fontId="24" fillId="0" borderId="0" xfId="0" applyNumberFormat="1" applyFont="1" applyBorder="1" applyAlignment="1">
      <alignment horizontal="center"/>
    </xf>
    <xf numFmtId="0" fontId="27" fillId="0" borderId="12" xfId="6" applyFont="1" applyBorder="1" applyAlignment="1">
      <alignment horizontal="center"/>
    </xf>
    <xf numFmtId="0" fontId="20" fillId="0" borderId="10" xfId="6" applyFont="1" applyBorder="1" applyAlignment="1">
      <alignment horizontal="center" vertical="center" wrapText="1"/>
    </xf>
    <xf numFmtId="0" fontId="10" fillId="0" borderId="8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20" fillId="0" borderId="10" xfId="6" applyNumberFormat="1" applyFont="1" applyBorder="1" applyAlignment="1">
      <alignment horizontal="center" vertical="center" wrapText="1"/>
    </xf>
    <xf numFmtId="0" fontId="20" fillId="0" borderId="19" xfId="6" applyNumberFormat="1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0" fontId="10" fillId="0" borderId="15" xfId="6" applyFont="1" applyBorder="1" applyAlignment="1">
      <alignment horizontal="center" vertical="center" wrapText="1"/>
    </xf>
    <xf numFmtId="0" fontId="20" fillId="0" borderId="13" xfId="6" applyNumberFormat="1" applyFont="1" applyBorder="1" applyAlignment="1">
      <alignment horizontal="center" vertical="center" wrapText="1"/>
    </xf>
    <xf numFmtId="0" fontId="20" fillId="0" borderId="15" xfId="6" applyNumberFormat="1" applyFont="1" applyBorder="1" applyAlignment="1">
      <alignment horizontal="center" vertical="center" wrapText="1"/>
    </xf>
    <xf numFmtId="0" fontId="20" fillId="0" borderId="19" xfId="6" applyNumberFormat="1" applyFont="1" applyBorder="1" applyAlignment="1">
      <alignment horizontal="center" vertical="center"/>
    </xf>
    <xf numFmtId="0" fontId="10" fillId="0" borderId="15" xfId="6" applyFont="1" applyBorder="1" applyAlignment="1">
      <alignment horizontal="center" vertical="center"/>
    </xf>
    <xf numFmtId="0" fontId="15" fillId="0" borderId="0" xfId="6" applyFont="1" applyBorder="1" applyAlignment="1">
      <alignment horizontal="center"/>
    </xf>
    <xf numFmtId="0" fontId="20" fillId="0" borderId="1" xfId="6" applyNumberFormat="1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20" fillId="0" borderId="8" xfId="6" applyNumberFormat="1" applyFont="1" applyBorder="1" applyAlignment="1">
      <alignment horizontal="center" vertical="center" wrapText="1"/>
    </xf>
    <xf numFmtId="0" fontId="20" fillId="0" borderId="4" xfId="6" applyNumberFormat="1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6" fontId="33" fillId="0" borderId="0" xfId="6" applyNumberFormat="1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166" fontId="32" fillId="0" borderId="0" xfId="6" applyNumberFormat="1" applyFont="1" applyBorder="1" applyAlignment="1">
      <alignment horizontal="center"/>
    </xf>
    <xf numFmtId="0" fontId="20" fillId="0" borderId="0" xfId="6" applyFont="1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 wrapText="1"/>
    </xf>
    <xf numFmtId="0" fontId="20" fillId="0" borderId="0" xfId="6" applyNumberFormat="1" applyFont="1" applyBorder="1" applyAlignment="1">
      <alignment horizontal="center" vertical="center" wrapText="1"/>
    </xf>
    <xf numFmtId="0" fontId="33" fillId="0" borderId="0" xfId="6" applyNumberFormat="1" applyFont="1" applyBorder="1" applyAlignment="1">
      <alignment horizontal="center"/>
    </xf>
    <xf numFmtId="0" fontId="32" fillId="0" borderId="0" xfId="6" applyNumberFormat="1" applyFont="1" applyBorder="1" applyAlignment="1">
      <alignment horizontal="center"/>
    </xf>
    <xf numFmtId="0" fontId="20" fillId="0" borderId="0" xfId="6" applyNumberFormat="1" applyFont="1" applyBorder="1" applyAlignment="1">
      <alignment horizontal="center"/>
    </xf>
    <xf numFmtId="0" fontId="10" fillId="0" borderId="0" xfId="6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0" fontId="28" fillId="0" borderId="0" xfId="0" applyFont="1" applyAlignment="1">
      <alignment horizontal="left" wrapText="1"/>
    </xf>
    <xf numFmtId="0" fontId="32" fillId="0" borderId="0" xfId="7" applyFont="1" applyAlignment="1">
      <alignment horizontal="left"/>
    </xf>
    <xf numFmtId="0" fontId="31" fillId="0" borderId="10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6" fillId="0" borderId="0" xfId="13" applyFont="1" applyAlignment="1">
      <alignment horizontal="left" vertical="center" wrapText="1"/>
    </xf>
    <xf numFmtId="0" fontId="27" fillId="0" borderId="12" xfId="13" applyFont="1" applyBorder="1" applyAlignment="1">
      <alignment horizontal="center"/>
    </xf>
    <xf numFmtId="0" fontId="46" fillId="0" borderId="1" xfId="13" applyFont="1" applyBorder="1" applyAlignment="1">
      <alignment horizontal="center" vertical="center" wrapText="1"/>
    </xf>
    <xf numFmtId="175" fontId="46" fillId="0" borderId="19" xfId="0" applyNumberFormat="1" applyFont="1" applyBorder="1" applyAlignment="1">
      <alignment horizontal="center" vertical="center" wrapText="1"/>
    </xf>
    <xf numFmtId="175" fontId="46" fillId="0" borderId="13" xfId="0" applyNumberFormat="1" applyFont="1" applyBorder="1" applyAlignment="1">
      <alignment horizontal="center" vertical="center" wrapText="1"/>
    </xf>
    <xf numFmtId="175" fontId="46" fillId="0" borderId="15" xfId="0" applyNumberFormat="1" applyFont="1" applyBorder="1" applyAlignment="1">
      <alignment horizontal="center" vertical="center" wrapText="1"/>
    </xf>
    <xf numFmtId="0" fontId="26" fillId="0" borderId="0" xfId="13" applyFont="1" applyAlignment="1">
      <alignment horizontal="left"/>
    </xf>
    <xf numFmtId="0" fontId="32" fillId="0" borderId="0" xfId="13" applyFont="1" applyAlignment="1">
      <alignment horizontal="center" vertical="center" wrapText="1"/>
    </xf>
    <xf numFmtId="0" fontId="35" fillId="0" borderId="10" xfId="13" applyFont="1" applyBorder="1" applyAlignment="1">
      <alignment horizontal="center" vertical="center" wrapText="1"/>
    </xf>
    <xf numFmtId="0" fontId="35" fillId="0" borderId="8" xfId="13" applyFont="1" applyBorder="1" applyAlignment="1">
      <alignment horizontal="center" vertical="center" wrapText="1"/>
    </xf>
    <xf numFmtId="0" fontId="35" fillId="0" borderId="4" xfId="13" applyFont="1" applyBorder="1" applyAlignment="1">
      <alignment horizontal="center" vertical="center" wrapText="1"/>
    </xf>
    <xf numFmtId="0" fontId="35" fillId="0" borderId="19" xfId="13" applyFont="1" applyBorder="1" applyAlignment="1">
      <alignment horizontal="center" vertical="center" wrapText="1"/>
    </xf>
    <xf numFmtId="0" fontId="35" fillId="0" borderId="13" xfId="13" applyFont="1" applyBorder="1" applyAlignment="1">
      <alignment horizontal="center" vertical="center" wrapText="1"/>
    </xf>
    <xf numFmtId="0" fontId="35" fillId="0" borderId="15" xfId="1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5" fillId="0" borderId="1" xfId="13" applyFont="1" applyBorder="1" applyAlignment="1">
      <alignment horizontal="center" vertical="center" wrapText="1"/>
    </xf>
    <xf numFmtId="169" fontId="24" fillId="0" borderId="10" xfId="12" applyNumberFormat="1" applyFont="1" applyBorder="1" applyAlignment="1">
      <alignment horizontal="center" vertical="center" wrapText="1"/>
    </xf>
    <xf numFmtId="169" fontId="24" fillId="0" borderId="8" xfId="12" applyNumberFormat="1" applyFont="1" applyBorder="1" applyAlignment="1">
      <alignment horizontal="center" vertical="center" wrapText="1"/>
    </xf>
    <xf numFmtId="169" fontId="24" fillId="0" borderId="4" xfId="12" applyNumberFormat="1" applyFont="1" applyBorder="1" applyAlignment="1">
      <alignment horizontal="center" vertical="center" wrapText="1"/>
    </xf>
    <xf numFmtId="0" fontId="31" fillId="0" borderId="0" xfId="10" applyFont="1" applyAlignment="1">
      <alignment horizontal="center"/>
    </xf>
    <xf numFmtId="0" fontId="27" fillId="0" borderId="0" xfId="10" applyFont="1" applyAlignment="1">
      <alignment horizontal="right"/>
    </xf>
    <xf numFmtId="174" fontId="24" fillId="0" borderId="10" xfId="11" applyFont="1" applyBorder="1" applyAlignment="1">
      <alignment horizontal="center" vertical="center"/>
    </xf>
    <xf numFmtId="174" fontId="24" fillId="0" borderId="8" xfId="11" applyFont="1" applyBorder="1" applyAlignment="1">
      <alignment horizontal="center" vertical="center"/>
    </xf>
    <xf numFmtId="174" fontId="24" fillId="0" borderId="4" xfId="11" applyFont="1" applyBorder="1" applyAlignment="1">
      <alignment horizontal="center" vertical="center"/>
    </xf>
    <xf numFmtId="0" fontId="24" fillId="0" borderId="10" xfId="10" applyFont="1" applyBorder="1" applyAlignment="1">
      <alignment horizontal="center" vertical="center"/>
    </xf>
    <xf numFmtId="0" fontId="24" fillId="0" borderId="8" xfId="10" applyFont="1" applyBorder="1" applyAlignment="1">
      <alignment horizontal="center" vertical="center"/>
    </xf>
    <xf numFmtId="0" fontId="24" fillId="0" borderId="4" xfId="10" applyFont="1" applyBorder="1" applyAlignment="1">
      <alignment horizontal="center" vertical="center"/>
    </xf>
    <xf numFmtId="0" fontId="24" fillId="0" borderId="10" xfId="10" applyFont="1" applyBorder="1" applyAlignment="1">
      <alignment horizontal="center" vertical="center" wrapText="1" shrinkToFit="1"/>
    </xf>
    <xf numFmtId="0" fontId="24" fillId="0" borderId="8" xfId="10" applyFont="1" applyBorder="1" applyAlignment="1">
      <alignment horizontal="center" vertical="center" wrapText="1" shrinkToFit="1"/>
    </xf>
    <xf numFmtId="0" fontId="24" fillId="0" borderId="4" xfId="1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/>
    </xf>
    <xf numFmtId="166" fontId="10" fillId="0" borderId="0" xfId="1" applyNumberFormat="1" applyFont="1" applyAlignment="1">
      <alignment horizontal="center"/>
    </xf>
    <xf numFmtId="0" fontId="18" fillId="0" borderId="0" xfId="0" applyFont="1" applyAlignment="1">
      <alignment horizontal="center"/>
    </xf>
    <xf numFmtId="166" fontId="27" fillId="0" borderId="12" xfId="0" applyNumberFormat="1" applyFont="1" applyBorder="1" applyAlignment="1">
      <alignment horizontal="center"/>
    </xf>
    <xf numFmtId="166" fontId="26" fillId="0" borderId="0" xfId="0" applyNumberFormat="1" applyFont="1" applyAlignment="1">
      <alignment horizontal="center"/>
    </xf>
    <xf numFmtId="166" fontId="24" fillId="0" borderId="0" xfId="1" applyNumberFormat="1" applyFont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0" fontId="24" fillId="0" borderId="11" xfId="0" applyNumberFormat="1" applyFont="1" applyBorder="1" applyAlignment="1">
      <alignment horizontal="center"/>
    </xf>
    <xf numFmtId="0" fontId="24" fillId="0" borderId="0" xfId="0" applyNumberFormat="1" applyFont="1" applyBorder="1" applyAlignment="1">
      <alignment horizontal="center"/>
    </xf>
    <xf numFmtId="0" fontId="24" fillId="2" borderId="11" xfId="0" applyNumberFormat="1" applyFont="1" applyFill="1" applyBorder="1" applyAlignment="1">
      <alignment horizontal="center"/>
    </xf>
    <xf numFmtId="0" fontId="24" fillId="2" borderId="0" xfId="0" applyNumberFormat="1" applyFont="1" applyFill="1" applyAlignment="1">
      <alignment horizontal="center"/>
    </xf>
    <xf numFmtId="0" fontId="21" fillId="0" borderId="0" xfId="15" applyFont="1" applyAlignment="1">
      <alignment horizontal="center"/>
    </xf>
    <xf numFmtId="0" fontId="33" fillId="0" borderId="0" xfId="15" applyFont="1" applyAlignment="1">
      <alignment horizontal="center"/>
    </xf>
    <xf numFmtId="0" fontId="26" fillId="0" borderId="0" xfId="15" applyFont="1" applyAlignment="1">
      <alignment horizontal="left"/>
    </xf>
    <xf numFmtId="0" fontId="36" fillId="0" borderId="12" xfId="15" applyFont="1" applyBorder="1" applyAlignment="1">
      <alignment horizontal="center"/>
    </xf>
    <xf numFmtId="0" fontId="20" fillId="0" borderId="19" xfId="15" applyFont="1" applyBorder="1" applyAlignment="1">
      <alignment horizontal="center" vertical="center"/>
    </xf>
    <xf numFmtId="0" fontId="20" fillId="0" borderId="13" xfId="15" applyFont="1" applyBorder="1" applyAlignment="1">
      <alignment horizontal="center" vertical="center"/>
    </xf>
    <xf numFmtId="0" fontId="20" fillId="0" borderId="15" xfId="15" applyFont="1" applyBorder="1" applyAlignment="1">
      <alignment horizontal="center" vertical="center"/>
    </xf>
    <xf numFmtId="0" fontId="20" fillId="0" borderId="10" xfId="15" applyFont="1" applyBorder="1" applyAlignment="1">
      <alignment horizontal="center" vertical="center" wrapText="1"/>
    </xf>
    <xf numFmtId="0" fontId="20" fillId="0" borderId="8" xfId="15" applyFont="1" applyBorder="1" applyAlignment="1">
      <alignment horizontal="center" vertical="center" wrapText="1"/>
    </xf>
    <xf numFmtId="0" fontId="20" fillId="0" borderId="19" xfId="15" applyFont="1" applyBorder="1" applyAlignment="1">
      <alignment horizontal="center" vertical="center" wrapText="1"/>
    </xf>
    <xf numFmtId="0" fontId="20" fillId="0" borderId="13" xfId="15" applyFont="1" applyBorder="1" applyAlignment="1">
      <alignment horizontal="center" vertical="center" wrapText="1"/>
    </xf>
    <xf numFmtId="0" fontId="20" fillId="0" borderId="15" xfId="15" applyFont="1" applyBorder="1" applyAlignment="1">
      <alignment horizontal="center" vertical="center" wrapText="1"/>
    </xf>
    <xf numFmtId="0" fontId="20" fillId="0" borderId="10" xfId="15" applyFont="1" applyBorder="1" applyAlignment="1">
      <alignment vertical="center" wrapText="1"/>
    </xf>
    <xf numFmtId="0" fontId="20" fillId="0" borderId="8" xfId="15" applyFont="1" applyBorder="1" applyAlignment="1">
      <alignment vertical="center" wrapText="1"/>
    </xf>
    <xf numFmtId="0" fontId="32" fillId="0" borderId="10" xfId="15" applyFont="1" applyBorder="1" applyAlignment="1">
      <alignment horizontal="center" vertical="center"/>
    </xf>
    <xf numFmtId="0" fontId="32" fillId="0" borderId="8" xfId="15" applyFont="1" applyBorder="1" applyAlignment="1">
      <alignment horizontal="center" vertical="center"/>
    </xf>
    <xf numFmtId="0" fontId="32" fillId="0" borderId="4" xfId="15" applyFont="1" applyBorder="1" applyAlignment="1">
      <alignment horizontal="center" vertical="center"/>
    </xf>
    <xf numFmtId="0" fontId="26" fillId="0" borderId="0" xfId="15" applyFont="1" applyAlignment="1">
      <alignment horizontal="center"/>
    </xf>
    <xf numFmtId="0" fontId="24" fillId="0" borderId="10" xfId="15" applyFont="1" applyBorder="1" applyAlignment="1">
      <alignment horizontal="center" vertical="center"/>
    </xf>
    <xf numFmtId="0" fontId="24" fillId="0" borderId="8" xfId="15" applyFont="1" applyBorder="1" applyAlignment="1">
      <alignment horizontal="center" vertical="center"/>
    </xf>
    <xf numFmtId="0" fontId="24" fillId="0" borderId="4" xfId="15" applyFont="1" applyBorder="1" applyAlignment="1">
      <alignment horizontal="center" vertical="center"/>
    </xf>
    <xf numFmtId="0" fontId="20" fillId="0" borderId="4" xfId="15" applyFont="1" applyBorder="1" applyAlignment="1">
      <alignment horizontal="center" vertical="center" wrapText="1"/>
    </xf>
    <xf numFmtId="0" fontId="20" fillId="2" borderId="10" xfId="15" applyFont="1" applyFill="1" applyBorder="1" applyAlignment="1">
      <alignment horizontal="center" vertical="center" wrapText="1"/>
    </xf>
    <xf numFmtId="0" fontId="20" fillId="2" borderId="8" xfId="15" applyFont="1" applyFill="1" applyBorder="1" applyAlignment="1">
      <alignment horizontal="center" vertical="center" wrapText="1"/>
    </xf>
    <xf numFmtId="0" fontId="20" fillId="2" borderId="4" xfId="15" applyFont="1" applyFill="1" applyBorder="1" applyAlignment="1">
      <alignment horizontal="center" vertical="center" wrapText="1"/>
    </xf>
    <xf numFmtId="166" fontId="24" fillId="0" borderId="1" xfId="1" applyNumberFormat="1" applyFont="1" applyFill="1" applyBorder="1" applyAlignment="1">
      <alignment horizontal="right" wrapText="1"/>
    </xf>
    <xf numFmtId="0" fontId="38" fillId="0" borderId="1" xfId="0" applyFont="1" applyFill="1" applyBorder="1" applyAlignment="1">
      <alignment horizontal="right" wrapText="1"/>
    </xf>
    <xf numFmtId="179" fontId="20" fillId="0" borderId="1" xfId="1" applyNumberFormat="1" applyFont="1" applyFill="1" applyBorder="1" applyAlignment="1">
      <alignment horizontal="right" vertical="center" wrapText="1"/>
    </xf>
    <xf numFmtId="2" fontId="20" fillId="0" borderId="1" xfId="1" applyNumberFormat="1" applyFont="1" applyFill="1" applyBorder="1" applyAlignment="1">
      <alignment horizontal="right" wrapText="1"/>
    </xf>
    <xf numFmtId="179" fontId="20" fillId="0" borderId="1" xfId="1" applyNumberFormat="1" applyFont="1" applyFill="1" applyBorder="1" applyAlignment="1">
      <alignment horizontal="right" wrapText="1"/>
    </xf>
    <xf numFmtId="2" fontId="20" fillId="0" borderId="1" xfId="1" applyNumberFormat="1" applyFont="1" applyFill="1" applyBorder="1" applyAlignment="1">
      <alignment horizontal="center" vertical="center" wrapText="1"/>
    </xf>
    <xf numFmtId="179" fontId="20" fillId="0" borderId="1" xfId="1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vertical="center" wrapText="1"/>
    </xf>
    <xf numFmtId="167" fontId="10" fillId="0" borderId="1" xfId="0" applyNumberFormat="1" applyFont="1" applyBorder="1" applyAlignment="1">
      <alignment vertical="center"/>
    </xf>
    <xf numFmtId="2" fontId="36" fillId="0" borderId="1" xfId="1" applyNumberFormat="1" applyFont="1" applyFill="1" applyBorder="1" applyAlignment="1">
      <alignment horizontal="right" wrapText="1"/>
    </xf>
    <xf numFmtId="180" fontId="36" fillId="0" borderId="1" xfId="1" applyNumberFormat="1" applyFont="1" applyFill="1" applyBorder="1" applyAlignment="1">
      <alignment horizontal="right" wrapText="1"/>
    </xf>
    <xf numFmtId="167" fontId="36" fillId="0" borderId="1" xfId="1" applyNumberFormat="1" applyFont="1" applyFill="1" applyBorder="1" applyAlignment="1">
      <alignment horizontal="center" vertical="center" wrapText="1"/>
    </xf>
    <xf numFmtId="2" fontId="36" fillId="0" borderId="1" xfId="1" applyNumberFormat="1" applyFont="1" applyFill="1" applyBorder="1" applyAlignment="1">
      <alignment horizontal="center" vertical="center" wrapText="1"/>
    </xf>
    <xf numFmtId="2" fontId="36" fillId="2" borderId="1" xfId="1" applyNumberFormat="1" applyFont="1" applyFill="1" applyBorder="1" applyAlignment="1">
      <alignment horizontal="right"/>
    </xf>
    <xf numFmtId="180" fontId="36" fillId="2" borderId="1" xfId="1" applyNumberFormat="1" applyFont="1" applyFill="1" applyBorder="1" applyAlignment="1">
      <alignment horizontal="right"/>
    </xf>
    <xf numFmtId="167" fontId="36" fillId="2" borderId="1" xfId="1" applyNumberFormat="1" applyFont="1" applyFill="1" applyBorder="1" applyAlignment="1">
      <alignment horizontal="center" vertical="center"/>
    </xf>
    <xf numFmtId="2" fontId="36" fillId="2" borderId="1" xfId="1" applyNumberFormat="1" applyFont="1" applyFill="1" applyBorder="1" applyAlignment="1">
      <alignment horizontal="center" vertical="center"/>
    </xf>
    <xf numFmtId="2" fontId="20" fillId="2" borderId="1" xfId="1" applyNumberFormat="1" applyFont="1" applyFill="1" applyBorder="1" applyAlignment="1">
      <alignment horizontal="right"/>
    </xf>
    <xf numFmtId="180" fontId="20" fillId="2" borderId="1" xfId="1" applyNumberFormat="1" applyFont="1" applyFill="1" applyBorder="1" applyAlignment="1">
      <alignment horizontal="right"/>
    </xf>
    <xf numFmtId="167" fontId="20" fillId="2" borderId="1" xfId="1" applyNumberFormat="1" applyFont="1" applyFill="1" applyBorder="1"/>
    <xf numFmtId="2" fontId="20" fillId="2" borderId="1" xfId="1" applyNumberFormat="1" applyFont="1" applyFill="1" applyBorder="1"/>
    <xf numFmtId="2" fontId="20" fillId="2" borderId="1" xfId="1" applyNumberFormat="1" applyFont="1" applyFill="1" applyBorder="1" applyAlignment="1">
      <alignment horizontal="right" wrapText="1"/>
    </xf>
    <xf numFmtId="180" fontId="20" fillId="2" borderId="1" xfId="1" applyNumberFormat="1" applyFont="1" applyFill="1" applyBorder="1" applyAlignment="1">
      <alignment horizontal="right" wrapText="1"/>
    </xf>
    <xf numFmtId="167" fontId="20" fillId="2" borderId="1" xfId="1" applyNumberFormat="1" applyFont="1" applyFill="1" applyBorder="1" applyAlignment="1">
      <alignment horizontal="right" vertical="center" wrapText="1"/>
    </xf>
    <xf numFmtId="2" fontId="20" fillId="2" borderId="1" xfId="1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 wrapText="1"/>
    </xf>
    <xf numFmtId="0" fontId="38" fillId="0" borderId="1" xfId="0" applyFont="1" applyFill="1" applyBorder="1" applyAlignment="1">
      <alignment horizontal="right" vertical="center" wrapText="1"/>
    </xf>
    <xf numFmtId="166" fontId="28" fillId="0" borderId="3" xfId="0" applyNumberFormat="1" applyFont="1" applyFill="1" applyBorder="1" applyAlignment="1">
      <alignment horizontal="center" vertical="center"/>
    </xf>
    <xf numFmtId="166" fontId="31" fillId="3" borderId="28" xfId="1" applyNumberFormat="1" applyFont="1" applyFill="1" applyBorder="1" applyAlignment="1">
      <alignment horizontal="center" vertical="center"/>
    </xf>
    <xf numFmtId="166" fontId="31" fillId="3" borderId="3" xfId="1" applyNumberFormat="1" applyFont="1" applyFill="1" applyBorder="1" applyAlignment="1">
      <alignment horizontal="center" vertical="center"/>
    </xf>
    <xf numFmtId="167" fontId="20" fillId="0" borderId="28" xfId="0" applyNumberFormat="1" applyFont="1" applyBorder="1"/>
    <xf numFmtId="167" fontId="31" fillId="3" borderId="3" xfId="5" applyNumberFormat="1" applyFont="1" applyFill="1" applyBorder="1" applyAlignment="1">
      <alignment horizontal="center" vertical="center"/>
    </xf>
    <xf numFmtId="166" fontId="20" fillId="0" borderId="18" xfId="5" applyNumberFormat="1" applyFont="1" applyBorder="1" applyAlignment="1">
      <alignment horizontal="center" vertical="center"/>
    </xf>
    <xf numFmtId="166" fontId="20" fillId="0" borderId="4" xfId="5" applyNumberFormat="1" applyFont="1" applyBorder="1" applyAlignment="1">
      <alignment horizontal="center" vertical="center"/>
    </xf>
    <xf numFmtId="166" fontId="20" fillId="0" borderId="19" xfId="5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8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66" fontId="19" fillId="0" borderId="12" xfId="1" applyNumberFormat="1" applyFont="1" applyFill="1" applyBorder="1" applyAlignment="1">
      <alignment horizontal="center" vertical="center" wrapText="1"/>
    </xf>
    <xf numFmtId="166" fontId="19" fillId="0" borderId="17" xfId="1" applyNumberFormat="1" applyFont="1" applyFill="1" applyBorder="1" applyAlignment="1">
      <alignment vertical="center" wrapText="1"/>
    </xf>
    <xf numFmtId="0" fontId="46" fillId="0" borderId="9" xfId="0" applyFont="1" applyBorder="1" applyAlignment="1">
      <alignment horizontal="center"/>
    </xf>
    <xf numFmtId="165" fontId="108" fillId="0" borderId="1" xfId="1" applyFont="1" applyFill="1" applyBorder="1" applyAlignment="1">
      <alignment horizontal="center" vertical="top" wrapText="1"/>
    </xf>
    <xf numFmtId="0" fontId="109" fillId="0" borderId="1" xfId="0" applyFont="1" applyBorder="1"/>
    <xf numFmtId="166" fontId="108" fillId="0" borderId="1" xfId="1" applyNumberFormat="1" applyFont="1" applyFill="1" applyBorder="1" applyAlignment="1">
      <alignment horizontal="center" vertical="top" wrapText="1"/>
    </xf>
    <xf numFmtId="0" fontId="110" fillId="0" borderId="1" xfId="0" applyFont="1" applyBorder="1"/>
    <xf numFmtId="0" fontId="108" fillId="0" borderId="1" xfId="0" applyFont="1" applyFill="1" applyBorder="1"/>
    <xf numFmtId="0" fontId="108" fillId="0" borderId="1" xfId="0" applyFont="1" applyBorder="1"/>
    <xf numFmtId="165" fontId="108" fillId="0" borderId="1" xfId="1" applyFont="1" applyFill="1" applyBorder="1" applyAlignment="1">
      <alignment horizontal="right" vertical="center" wrapText="1"/>
    </xf>
    <xf numFmtId="165" fontId="111" fillId="0" borderId="1" xfId="1" applyFont="1" applyFill="1" applyBorder="1" applyAlignment="1">
      <alignment horizontal="right" vertical="center" wrapText="1"/>
    </xf>
    <xf numFmtId="0" fontId="111" fillId="0" borderId="4" xfId="0" applyFont="1" applyFill="1" applyBorder="1"/>
    <xf numFmtId="165" fontId="108" fillId="0" borderId="4" xfId="1" applyFont="1" applyFill="1" applyBorder="1" applyAlignment="1">
      <alignment horizontal="right" vertical="center" wrapText="1"/>
    </xf>
    <xf numFmtId="165" fontId="111" fillId="0" borderId="4" xfId="1" applyFont="1" applyFill="1" applyBorder="1" applyAlignment="1">
      <alignment horizontal="right" vertical="center" wrapText="1"/>
    </xf>
    <xf numFmtId="166" fontId="20" fillId="0" borderId="10" xfId="1" applyNumberFormat="1" applyFont="1" applyFill="1" applyBorder="1" applyAlignment="1">
      <alignment vertical="center" wrapText="1"/>
    </xf>
    <xf numFmtId="167" fontId="20" fillId="0" borderId="10" xfId="1" applyNumberFormat="1" applyFont="1" applyFill="1" applyBorder="1" applyAlignment="1">
      <alignment horizontal="center" vertical="center" wrapText="1"/>
    </xf>
    <xf numFmtId="167" fontId="20" fillId="0" borderId="21" xfId="1" applyNumberFormat="1" applyFont="1" applyFill="1" applyBorder="1" applyAlignment="1">
      <alignment horizontal="center" vertical="center" wrapText="1"/>
    </xf>
    <xf numFmtId="165" fontId="20" fillId="0" borderId="10" xfId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9" fontId="19" fillId="0" borderId="1" xfId="1" applyNumberFormat="1" applyFont="1" applyFill="1" applyBorder="1" applyAlignment="1">
      <alignment horizontal="right" vertical="center" wrapText="1"/>
    </xf>
    <xf numFmtId="167" fontId="19" fillId="0" borderId="1" xfId="1" applyNumberFormat="1" applyFont="1" applyFill="1" applyBorder="1" applyAlignment="1">
      <alignment horizontal="center" vertical="center" wrapText="1"/>
    </xf>
    <xf numFmtId="179" fontId="19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79" fontId="35" fillId="0" borderId="1" xfId="1" applyNumberFormat="1" applyFont="1" applyFill="1" applyBorder="1" applyAlignment="1">
      <alignment horizontal="right" vertical="center" wrapText="1"/>
    </xf>
    <xf numFmtId="2" fontId="35" fillId="0" borderId="1" xfId="1" applyNumberFormat="1" applyFont="1" applyFill="1" applyBorder="1" applyAlignment="1">
      <alignment horizontal="right" wrapText="1"/>
    </xf>
    <xf numFmtId="179" fontId="35" fillId="0" borderId="1" xfId="1" applyNumberFormat="1" applyFont="1" applyFill="1" applyBorder="1" applyAlignment="1">
      <alignment horizontal="right" wrapText="1"/>
    </xf>
    <xf numFmtId="167" fontId="35" fillId="0" borderId="1" xfId="1" applyNumberFormat="1" applyFont="1" applyFill="1" applyBorder="1" applyAlignment="1">
      <alignment horizontal="center" vertical="center" wrapText="1"/>
    </xf>
    <xf numFmtId="2" fontId="35" fillId="0" borderId="1" xfId="1" applyNumberFormat="1" applyFont="1" applyFill="1" applyBorder="1" applyAlignment="1">
      <alignment horizontal="center" vertical="center" wrapText="1"/>
    </xf>
    <xf numFmtId="179" fontId="35" fillId="0" borderId="1" xfId="1" applyNumberFormat="1" applyFont="1" applyFill="1" applyBorder="1" applyAlignment="1">
      <alignment horizontal="center" vertical="center" wrapText="1"/>
    </xf>
    <xf numFmtId="167" fontId="108" fillId="0" borderId="1" xfId="1" applyNumberFormat="1" applyFont="1" applyFill="1" applyBorder="1" applyAlignment="1">
      <alignment horizontal="center"/>
    </xf>
    <xf numFmtId="177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112" fillId="0" borderId="1" xfId="1" applyNumberFormat="1" applyFont="1" applyFill="1" applyBorder="1" applyAlignment="1">
      <alignment horizontal="right" wrapText="1"/>
    </xf>
    <xf numFmtId="180" fontId="112" fillId="0" borderId="1" xfId="1" applyNumberFormat="1" applyFont="1" applyFill="1" applyBorder="1" applyAlignment="1">
      <alignment horizontal="right" wrapText="1"/>
    </xf>
    <xf numFmtId="167" fontId="112" fillId="0" borderId="1" xfId="1" applyNumberFormat="1" applyFont="1" applyFill="1" applyBorder="1" applyAlignment="1">
      <alignment horizontal="center" vertical="center" wrapText="1"/>
    </xf>
    <xf numFmtId="2" fontId="112" fillId="0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2" fontId="112" fillId="2" borderId="1" xfId="1" applyNumberFormat="1" applyFont="1" applyFill="1" applyBorder="1" applyAlignment="1">
      <alignment horizontal="right"/>
    </xf>
    <xf numFmtId="180" fontId="112" fillId="2" borderId="1" xfId="1" applyNumberFormat="1" applyFont="1" applyFill="1" applyBorder="1" applyAlignment="1">
      <alignment horizontal="right"/>
    </xf>
    <xf numFmtId="167" fontId="112" fillId="2" borderId="1" xfId="1" applyNumberFormat="1" applyFont="1" applyFill="1" applyBorder="1" applyAlignment="1">
      <alignment horizontal="center" vertical="center"/>
    </xf>
    <xf numFmtId="2" fontId="112" fillId="2" borderId="1" xfId="1" applyNumberFormat="1" applyFont="1" applyFill="1" applyBorder="1" applyAlignment="1">
      <alignment horizontal="center" vertical="center"/>
    </xf>
    <xf numFmtId="2" fontId="35" fillId="2" borderId="1" xfId="1" applyNumberFormat="1" applyFont="1" applyFill="1" applyBorder="1" applyAlignment="1">
      <alignment horizontal="right"/>
    </xf>
    <xf numFmtId="180" fontId="35" fillId="2" borderId="1" xfId="1" applyNumberFormat="1" applyFont="1" applyFill="1" applyBorder="1" applyAlignment="1">
      <alignment horizontal="right"/>
    </xf>
    <xf numFmtId="167" fontId="35" fillId="2" borderId="1" xfId="1" applyNumberFormat="1" applyFont="1" applyFill="1" applyBorder="1"/>
    <xf numFmtId="2" fontId="35" fillId="2" borderId="1" xfId="1" applyNumberFormat="1" applyFont="1" applyFill="1" applyBorder="1"/>
    <xf numFmtId="2" fontId="35" fillId="2" borderId="1" xfId="1" applyNumberFormat="1" applyFont="1" applyFill="1" applyBorder="1" applyAlignment="1">
      <alignment horizontal="right" wrapText="1"/>
    </xf>
    <xf numFmtId="180" fontId="35" fillId="2" borderId="1" xfId="1" applyNumberFormat="1" applyFont="1" applyFill="1" applyBorder="1" applyAlignment="1">
      <alignment horizontal="right" wrapText="1"/>
    </xf>
    <xf numFmtId="167" fontId="35" fillId="2" borderId="1" xfId="1" applyNumberFormat="1" applyFont="1" applyFill="1" applyBorder="1" applyAlignment="1">
      <alignment horizontal="right" vertical="center" wrapText="1"/>
    </xf>
    <xf numFmtId="2" fontId="35" fillId="2" borderId="1" xfId="1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/>
    </xf>
    <xf numFmtId="0" fontId="35" fillId="2" borderId="1" xfId="0" applyFont="1" applyFill="1" applyBorder="1"/>
    <xf numFmtId="167" fontId="35" fillId="2" borderId="1" xfId="1" applyNumberFormat="1" applyFont="1" applyFill="1" applyBorder="1" applyAlignment="1"/>
    <xf numFmtId="2" fontId="35" fillId="2" borderId="1" xfId="1" applyNumberFormat="1" applyFont="1" applyFill="1" applyBorder="1" applyAlignment="1"/>
    <xf numFmtId="0" fontId="10" fillId="0" borderId="1" xfId="0" applyFont="1" applyBorder="1" applyAlignment="1">
      <alignment vertical="center"/>
    </xf>
    <xf numFmtId="167" fontId="106" fillId="0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20" fillId="2" borderId="1" xfId="0" applyFont="1" applyFill="1" applyBorder="1"/>
    <xf numFmtId="167" fontId="20" fillId="2" borderId="1" xfId="1" applyNumberFormat="1" applyFont="1" applyFill="1" applyBorder="1" applyAlignment="1"/>
    <xf numFmtId="2" fontId="20" fillId="2" borderId="1" xfId="1" applyNumberFormat="1" applyFont="1" applyFill="1" applyBorder="1" applyAlignment="1"/>
    <xf numFmtId="0" fontId="20" fillId="2" borderId="1" xfId="0" applyFont="1" applyFill="1" applyBorder="1" applyAlignment="1"/>
    <xf numFmtId="0" fontId="10" fillId="0" borderId="1" xfId="0" applyFont="1" applyBorder="1"/>
    <xf numFmtId="167" fontId="10" fillId="0" borderId="1" xfId="1" applyNumberFormat="1" applyFont="1" applyBorder="1"/>
    <xf numFmtId="2" fontId="10" fillId="0" borderId="1" xfId="1" applyNumberFormat="1" applyFont="1" applyBorder="1" applyAlignment="1">
      <alignment horizontal="right"/>
    </xf>
    <xf numFmtId="180" fontId="10" fillId="0" borderId="1" xfId="1" applyNumberFormat="1" applyFont="1" applyBorder="1" applyAlignment="1">
      <alignment horizontal="right"/>
    </xf>
    <xf numFmtId="165" fontId="10" fillId="0" borderId="1" xfId="1" applyFont="1" applyBorder="1"/>
    <xf numFmtId="2" fontId="10" fillId="0" borderId="1" xfId="1" applyNumberFormat="1" applyFont="1" applyBorder="1"/>
    <xf numFmtId="179" fontId="10" fillId="0" borderId="1" xfId="1" applyNumberFormat="1" applyFont="1" applyBorder="1"/>
    <xf numFmtId="0" fontId="26" fillId="0" borderId="0" xfId="0" applyNumberFormat="1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167" fontId="19" fillId="0" borderId="1" xfId="1" applyNumberFormat="1" applyFont="1" applyFill="1" applyBorder="1" applyAlignment="1">
      <alignment horizontal="center" vertical="center" wrapText="1"/>
    </xf>
    <xf numFmtId="165" fontId="19" fillId="0" borderId="19" xfId="1" applyFont="1" applyFill="1" applyBorder="1" applyAlignment="1">
      <alignment horizontal="center" vertical="center" wrapText="1"/>
    </xf>
    <xf numFmtId="165" fontId="19" fillId="0" borderId="13" xfId="1" applyFont="1" applyFill="1" applyBorder="1" applyAlignment="1">
      <alignment horizontal="center" vertical="center" wrapText="1"/>
    </xf>
    <xf numFmtId="167" fontId="19" fillId="0" borderId="17" xfId="1" applyNumberFormat="1" applyFont="1" applyFill="1" applyBorder="1" applyAlignment="1">
      <alignment horizontal="center" vertical="center" wrapText="1"/>
    </xf>
    <xf numFmtId="167" fontId="19" fillId="0" borderId="21" xfId="1" applyNumberFormat="1" applyFont="1" applyFill="1" applyBorder="1" applyAlignment="1">
      <alignment horizontal="center" vertical="center" wrapText="1"/>
    </xf>
    <xf numFmtId="0" fontId="113" fillId="0" borderId="10" xfId="0" applyFont="1" applyBorder="1" applyAlignment="1">
      <alignment horizontal="center" vertical="center" wrapText="1"/>
    </xf>
    <xf numFmtId="165" fontId="19" fillId="0" borderId="4" xfId="1" applyFont="1" applyFill="1" applyBorder="1" applyAlignment="1">
      <alignment horizontal="center" vertical="center" wrapText="1"/>
    </xf>
    <xf numFmtId="165" fontId="19" fillId="0" borderId="11" xfId="1" applyFont="1" applyFill="1" applyBorder="1" applyAlignment="1">
      <alignment horizontal="center" vertical="center" wrapText="1"/>
    </xf>
    <xf numFmtId="165" fontId="19" fillId="0" borderId="0" xfId="1" applyFont="1" applyFill="1" applyBorder="1" applyAlignment="1">
      <alignment horizontal="center" vertical="center" wrapText="1"/>
    </xf>
    <xf numFmtId="165" fontId="19" fillId="0" borderId="20" xfId="1" applyFont="1" applyFill="1" applyBorder="1" applyAlignment="1">
      <alignment horizontal="center" vertical="center" wrapText="1"/>
    </xf>
    <xf numFmtId="165" fontId="19" fillId="0" borderId="19" xfId="1" applyFont="1" applyFill="1" applyBorder="1" applyAlignment="1">
      <alignment horizontal="center" vertical="center" wrapText="1"/>
    </xf>
    <xf numFmtId="167" fontId="19" fillId="0" borderId="18" xfId="1" applyNumberFormat="1" applyFont="1" applyFill="1" applyBorder="1" applyAlignment="1">
      <alignment horizontal="center" vertical="center" wrapText="1"/>
    </xf>
    <xf numFmtId="167" fontId="19" fillId="0" borderId="23" xfId="1" applyNumberFormat="1" applyFont="1" applyFill="1" applyBorder="1" applyAlignment="1">
      <alignment horizontal="center" vertical="center" wrapText="1"/>
    </xf>
    <xf numFmtId="0" fontId="113" fillId="0" borderId="8" xfId="0" applyFont="1" applyBorder="1" applyAlignment="1">
      <alignment horizontal="center" vertical="center" wrapText="1"/>
    </xf>
    <xf numFmtId="165" fontId="19" fillId="0" borderId="1" xfId="1" applyFont="1" applyFill="1" applyBorder="1" applyAlignment="1">
      <alignment horizontal="center" vertical="center" wrapText="1"/>
    </xf>
    <xf numFmtId="165" fontId="19" fillId="0" borderId="1" xfId="1" applyFont="1" applyFill="1" applyBorder="1" applyAlignment="1">
      <alignment horizontal="center" vertical="center" wrapText="1"/>
    </xf>
    <xf numFmtId="165" fontId="19" fillId="0" borderId="10" xfId="1" applyFont="1" applyFill="1" applyBorder="1" applyAlignment="1">
      <alignment horizontal="center" vertical="center" wrapText="1"/>
    </xf>
    <xf numFmtId="167" fontId="19" fillId="0" borderId="19" xfId="1" applyNumberFormat="1" applyFont="1" applyFill="1" applyBorder="1" applyAlignment="1">
      <alignment horizontal="center" vertical="center" wrapText="1"/>
    </xf>
    <xf numFmtId="167" fontId="35" fillId="0" borderId="1" xfId="1" applyNumberFormat="1" applyFont="1" applyFill="1" applyBorder="1" applyAlignment="1">
      <alignment horizontal="center" vertical="center" wrapText="1"/>
    </xf>
    <xf numFmtId="165" fontId="35" fillId="0" borderId="19" xfId="1" applyFont="1" applyFill="1" applyBorder="1" applyAlignment="1">
      <alignment horizontal="center" vertical="center" wrapText="1"/>
    </xf>
    <xf numFmtId="165" fontId="35" fillId="0" borderId="13" xfId="1" applyFont="1" applyFill="1" applyBorder="1" applyAlignment="1">
      <alignment horizontal="center" vertical="center" wrapText="1"/>
    </xf>
    <xf numFmtId="167" fontId="35" fillId="0" borderId="17" xfId="1" applyNumberFormat="1" applyFont="1" applyFill="1" applyBorder="1" applyAlignment="1">
      <alignment horizontal="center" vertical="center" wrapText="1"/>
    </xf>
    <xf numFmtId="167" fontId="35" fillId="0" borderId="21" xfId="1" applyNumberFormat="1" applyFont="1" applyFill="1" applyBorder="1" applyAlignment="1">
      <alignment horizontal="center" vertical="center" wrapText="1"/>
    </xf>
    <xf numFmtId="0" fontId="114" fillId="0" borderId="10" xfId="0" applyFont="1" applyBorder="1" applyAlignment="1">
      <alignment horizontal="center" vertical="center" wrapText="1"/>
    </xf>
    <xf numFmtId="165" fontId="35" fillId="0" borderId="4" xfId="1" applyFont="1" applyFill="1" applyBorder="1" applyAlignment="1">
      <alignment horizontal="center" vertical="center" wrapText="1"/>
    </xf>
    <xf numFmtId="165" fontId="35" fillId="0" borderId="11" xfId="1" applyFont="1" applyFill="1" applyBorder="1" applyAlignment="1">
      <alignment horizontal="center" vertical="center" wrapText="1"/>
    </xf>
    <xf numFmtId="165" fontId="35" fillId="0" borderId="0" xfId="1" applyFont="1" applyFill="1" applyBorder="1" applyAlignment="1">
      <alignment horizontal="center" vertical="center" wrapText="1"/>
    </xf>
    <xf numFmtId="165" fontId="35" fillId="0" borderId="20" xfId="1" applyFont="1" applyFill="1" applyBorder="1" applyAlignment="1">
      <alignment horizontal="center" vertical="center" wrapText="1"/>
    </xf>
    <xf numFmtId="167" fontId="35" fillId="0" borderId="18" xfId="1" applyNumberFormat="1" applyFont="1" applyFill="1" applyBorder="1" applyAlignment="1">
      <alignment horizontal="center" vertical="center" wrapText="1"/>
    </xf>
    <xf numFmtId="167" fontId="35" fillId="0" borderId="23" xfId="1" applyNumberFormat="1" applyFont="1" applyFill="1" applyBorder="1" applyAlignment="1">
      <alignment horizontal="center" vertical="center" wrapText="1"/>
    </xf>
    <xf numFmtId="0" fontId="114" fillId="0" borderId="8" xfId="0" applyFont="1" applyBorder="1" applyAlignment="1">
      <alignment horizontal="center" vertical="center" wrapText="1"/>
    </xf>
    <xf numFmtId="165" fontId="35" fillId="0" borderId="1" xfId="1" applyFont="1" applyFill="1" applyBorder="1" applyAlignment="1">
      <alignment horizontal="center" vertical="center" wrapText="1"/>
    </xf>
    <xf numFmtId="165" fontId="35" fillId="0" borderId="10" xfId="1" applyFont="1" applyFill="1" applyBorder="1" applyAlignment="1">
      <alignment horizontal="center" vertical="center" wrapText="1"/>
    </xf>
    <xf numFmtId="166" fontId="35" fillId="0" borderId="1" xfId="1" applyNumberFormat="1" applyFont="1" applyFill="1" applyBorder="1" applyAlignment="1">
      <alignment horizontal="center" vertical="center" wrapText="1"/>
    </xf>
    <xf numFmtId="167" fontId="35" fillId="0" borderId="19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80" fontId="115" fillId="0" borderId="1" xfId="0" applyNumberFormat="1" applyFont="1" applyBorder="1" applyAlignment="1">
      <alignment horizontal="right" vertical="center" wrapText="1"/>
    </xf>
    <xf numFmtId="0" fontId="116" fillId="0" borderId="3" xfId="0" applyFont="1" applyFill="1" applyBorder="1"/>
    <xf numFmtId="0" fontId="19" fillId="0" borderId="3" xfId="0" applyFont="1" applyFill="1" applyBorder="1" applyAlignment="1">
      <alignment horizontal="right"/>
    </xf>
    <xf numFmtId="165" fontId="19" fillId="0" borderId="3" xfId="1" applyFont="1" applyFill="1" applyBorder="1" applyAlignment="1">
      <alignment horizontal="right" vertical="center" wrapText="1"/>
    </xf>
    <xf numFmtId="167" fontId="19" fillId="0" borderId="3" xfId="1" applyNumberFormat="1" applyFont="1" applyFill="1" applyBorder="1" applyAlignment="1"/>
    <xf numFmtId="167" fontId="19" fillId="0" borderId="3" xfId="1" applyNumberFormat="1" applyFont="1" applyFill="1" applyBorder="1" applyAlignment="1">
      <alignment horizontal="center"/>
    </xf>
    <xf numFmtId="0" fontId="116" fillId="2" borderId="3" xfId="0" applyFont="1" applyFill="1" applyBorder="1"/>
    <xf numFmtId="0" fontId="19" fillId="2" borderId="3" xfId="0" applyFont="1" applyFill="1" applyBorder="1" applyAlignment="1">
      <alignment horizontal="right"/>
    </xf>
    <xf numFmtId="165" fontId="19" fillId="2" borderId="3" xfId="1" applyFont="1" applyFill="1" applyBorder="1" applyAlignment="1">
      <alignment horizontal="right" vertical="center" wrapText="1"/>
    </xf>
    <xf numFmtId="167" fontId="19" fillId="2" borderId="3" xfId="1" applyNumberFormat="1" applyFont="1" applyFill="1" applyBorder="1" applyAlignment="1">
      <alignment horizontal="right"/>
    </xf>
    <xf numFmtId="167" fontId="19" fillId="2" borderId="3" xfId="1" applyNumberFormat="1" applyFont="1" applyFill="1" applyBorder="1" applyAlignment="1"/>
    <xf numFmtId="167" fontId="19" fillId="2" borderId="3" xfId="1" applyNumberFormat="1" applyFont="1" applyFill="1" applyBorder="1" applyAlignment="1">
      <alignment horizontal="center"/>
    </xf>
    <xf numFmtId="0" fontId="91" fillId="0" borderId="1" xfId="0" applyFont="1" applyBorder="1" applyAlignment="1">
      <alignment horizontal="left" vertical="center" wrapText="1"/>
    </xf>
    <xf numFmtId="0" fontId="116" fillId="2" borderId="27" xfId="0" applyFont="1" applyFill="1" applyBorder="1"/>
    <xf numFmtId="0" fontId="19" fillId="2" borderId="27" xfId="0" applyFont="1" applyFill="1" applyBorder="1" applyAlignment="1">
      <alignment horizontal="right"/>
    </xf>
    <xf numFmtId="165" fontId="19" fillId="2" borderId="27" xfId="1" applyFont="1" applyFill="1" applyBorder="1" applyAlignment="1">
      <alignment horizontal="righ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180" fontId="115" fillId="0" borderId="10" xfId="0" applyNumberFormat="1" applyFont="1" applyBorder="1" applyAlignment="1">
      <alignment horizontal="right" vertical="center" wrapText="1"/>
    </xf>
    <xf numFmtId="167" fontId="19" fillId="2" borderId="27" xfId="1" applyNumberFormat="1" applyFont="1" applyFill="1" applyBorder="1" applyAlignment="1"/>
    <xf numFmtId="167" fontId="19" fillId="2" borderId="27" xfId="1" applyNumberFormat="1" applyFont="1" applyFill="1" applyBorder="1" applyAlignment="1">
      <alignment horizontal="center"/>
    </xf>
    <xf numFmtId="179" fontId="115" fillId="0" borderId="1" xfId="0" applyNumberFormat="1" applyFont="1" applyBorder="1" applyAlignment="1">
      <alignment horizontal="right" vertical="center" wrapText="1"/>
    </xf>
    <xf numFmtId="167" fontId="19" fillId="0" borderId="7" xfId="1" applyNumberFormat="1" applyFont="1" applyFill="1" applyBorder="1" applyAlignment="1"/>
    <xf numFmtId="179" fontId="19" fillId="0" borderId="7" xfId="1" applyNumberFormat="1" applyFont="1" applyFill="1" applyBorder="1" applyAlignment="1"/>
    <xf numFmtId="0" fontId="117" fillId="2" borderId="3" xfId="0" applyFont="1" applyFill="1" applyBorder="1" applyAlignment="1">
      <alignment vertical="center"/>
    </xf>
    <xf numFmtId="167" fontId="19" fillId="2" borderId="3" xfId="1" applyNumberFormat="1" applyFont="1" applyFill="1" applyBorder="1" applyAlignment="1">
      <alignment vertical="center"/>
    </xf>
    <xf numFmtId="179" fontId="19" fillId="0" borderId="1" xfId="0" applyNumberFormat="1" applyFont="1" applyFill="1" applyBorder="1"/>
    <xf numFmtId="2" fontId="19" fillId="0" borderId="1" xfId="0" applyNumberFormat="1" applyFont="1" applyFill="1" applyBorder="1"/>
    <xf numFmtId="0" fontId="25" fillId="0" borderId="0" xfId="0" applyFont="1" applyFill="1" applyBorder="1"/>
    <xf numFmtId="0" fontId="49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/>
    <xf numFmtId="0" fontId="19" fillId="0" borderId="0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165" fontId="35" fillId="0" borderId="1" xfId="1" applyNumberFormat="1" applyFont="1" applyFill="1" applyBorder="1" applyAlignment="1">
      <alignment horizontal="center" wrapText="1"/>
    </xf>
    <xf numFmtId="165" fontId="35" fillId="0" borderId="15" xfId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165" fontId="36" fillId="0" borderId="12" xfId="1" applyFont="1" applyFill="1" applyBorder="1" applyAlignment="1"/>
    <xf numFmtId="0" fontId="105" fillId="0" borderId="1" xfId="0" applyFont="1" applyBorder="1" applyAlignment="1">
      <alignment horizontal="left" vertical="center" wrapText="1"/>
    </xf>
    <xf numFmtId="0" fontId="118" fillId="0" borderId="3" xfId="0" applyFont="1" applyFill="1" applyBorder="1" applyAlignment="1">
      <alignment wrapText="1"/>
    </xf>
    <xf numFmtId="0" fontId="114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166" fontId="35" fillId="0" borderId="1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6" fontId="20" fillId="0" borderId="10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14" fillId="0" borderId="1" xfId="0" applyFont="1" applyFill="1" applyBorder="1" applyAlignment="1">
      <alignment wrapText="1"/>
    </xf>
    <xf numFmtId="0" fontId="114" fillId="0" borderId="1" xfId="0" applyFont="1" applyBorder="1" applyAlignment="1">
      <alignment horizontal="right"/>
    </xf>
    <xf numFmtId="167" fontId="108" fillId="0" borderId="1" xfId="1" applyNumberFormat="1" applyFont="1" applyFill="1" applyBorder="1" applyAlignment="1">
      <alignment horizontal="right"/>
    </xf>
    <xf numFmtId="177" fontId="8" fillId="0" borderId="1" xfId="0" applyNumberFormat="1" applyFont="1" applyBorder="1" applyAlignment="1">
      <alignment horizontal="right" vertical="center" wrapText="1"/>
    </xf>
    <xf numFmtId="167" fontId="8" fillId="0" borderId="1" xfId="0" applyNumberFormat="1" applyFont="1" applyBorder="1" applyAlignment="1">
      <alignment horizontal="right" vertical="center"/>
    </xf>
    <xf numFmtId="167" fontId="107" fillId="0" borderId="1" xfId="1" applyNumberFormat="1" applyFont="1" applyFill="1" applyBorder="1" applyAlignment="1">
      <alignment horizontal="right"/>
    </xf>
    <xf numFmtId="177" fontId="17" fillId="0" borderId="1" xfId="0" applyNumberFormat="1" applyFont="1" applyBorder="1" applyAlignment="1">
      <alignment horizontal="right" vertical="center" wrapText="1"/>
    </xf>
    <xf numFmtId="167" fontId="17" fillId="0" borderId="1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0" xfId="0" applyNumberFormat="1" applyFont="1" applyFill="1" applyAlignment="1">
      <alignment horizontal="left"/>
    </xf>
    <xf numFmtId="177" fontId="110" fillId="0" borderId="1" xfId="0" applyNumberFormat="1" applyFont="1" applyBorder="1"/>
    <xf numFmtId="0" fontId="20" fillId="0" borderId="5" xfId="0" applyFont="1" applyBorder="1" applyAlignment="1">
      <alignment horizontal="center"/>
    </xf>
    <xf numFmtId="166" fontId="20" fillId="0" borderId="5" xfId="1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/>
    </xf>
    <xf numFmtId="172" fontId="99" fillId="2" borderId="1" xfId="1" applyNumberFormat="1" applyFont="1" applyFill="1" applyBorder="1" applyAlignment="1">
      <alignment horizontal="center" vertical="center" wrapText="1"/>
    </xf>
    <xf numFmtId="172" fontId="99" fillId="2" borderId="1" xfId="1" applyNumberFormat="1" applyFont="1" applyFill="1" applyBorder="1" applyAlignment="1">
      <alignment vertical="center" wrapText="1"/>
    </xf>
    <xf numFmtId="172" fontId="100" fillId="2" borderId="1" xfId="1" applyNumberFormat="1" applyFont="1" applyFill="1" applyBorder="1" applyAlignment="1">
      <alignment horizontal="center"/>
    </xf>
    <xf numFmtId="172" fontId="100" fillId="2" borderId="1" xfId="1" applyNumberFormat="1" applyFont="1" applyFill="1" applyBorder="1" applyAlignment="1"/>
    <xf numFmtId="172" fontId="99" fillId="2" borderId="1" xfId="1" applyNumberFormat="1" applyFont="1" applyFill="1" applyBorder="1" applyAlignment="1">
      <alignment horizontal="center"/>
    </xf>
    <xf numFmtId="172" fontId="99" fillId="2" borderId="1" xfId="1" applyNumberFormat="1" applyFont="1" applyFill="1" applyBorder="1"/>
    <xf numFmtId="172" fontId="99" fillId="2" borderId="10" xfId="1" applyNumberFormat="1" applyFont="1" applyFill="1" applyBorder="1" applyAlignment="1">
      <alignment horizontal="center"/>
    </xf>
    <xf numFmtId="172" fontId="99" fillId="2" borderId="10" xfId="1" applyNumberFormat="1" applyFont="1" applyFill="1" applyBorder="1"/>
    <xf numFmtId="172" fontId="99" fillId="2" borderId="10" xfId="1" applyNumberFormat="1" applyFont="1" applyFill="1" applyBorder="1" applyAlignment="1">
      <alignment vertical="center" wrapText="1"/>
    </xf>
    <xf numFmtId="172" fontId="24" fillId="0" borderId="0" xfId="1" applyNumberFormat="1" applyFont="1"/>
    <xf numFmtId="172" fontId="24" fillId="0" borderId="0" xfId="0" applyNumberFormat="1" applyFont="1"/>
    <xf numFmtId="172" fontId="99" fillId="2" borderId="1" xfId="0" applyNumberFormat="1" applyFont="1" applyFill="1" applyBorder="1" applyAlignment="1"/>
    <xf numFmtId="172" fontId="99" fillId="2" borderId="1" xfId="0" applyNumberFormat="1" applyFont="1" applyFill="1" applyBorder="1"/>
    <xf numFmtId="172" fontId="99" fillId="2" borderId="13" xfId="0" applyNumberFormat="1" applyFont="1" applyFill="1" applyBorder="1" applyAlignment="1"/>
    <xf numFmtId="172" fontId="99" fillId="2" borderId="19" xfId="1" applyNumberFormat="1" applyFont="1" applyFill="1" applyBorder="1" applyAlignment="1">
      <alignment horizontal="center" vertical="center"/>
    </xf>
    <xf numFmtId="172" fontId="99" fillId="2" borderId="15" xfId="1" applyNumberFormat="1" applyFont="1" applyFill="1" applyBorder="1" applyAlignment="1">
      <alignment horizontal="center" vertical="center"/>
    </xf>
    <xf numFmtId="177" fontId="24" fillId="0" borderId="0" xfId="0" applyNumberFormat="1" applyFont="1"/>
    <xf numFmtId="177" fontId="99" fillId="2" borderId="15" xfId="0" applyNumberFormat="1" applyFont="1" applyFill="1" applyBorder="1" applyAlignment="1"/>
    <xf numFmtId="166" fontId="19" fillId="2" borderId="13" xfId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66" fontId="10" fillId="0" borderId="1" xfId="1" applyNumberFormat="1" applyFont="1" applyFill="1" applyBorder="1" applyAlignment="1">
      <alignment vertical="top" wrapText="1"/>
    </xf>
    <xf numFmtId="166" fontId="119" fillId="0" borderId="7" xfId="1" applyNumberFormat="1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horizontal="center"/>
    </xf>
    <xf numFmtId="166" fontId="104" fillId="0" borderId="26" xfId="0" applyNumberFormat="1" applyFont="1" applyBorder="1"/>
    <xf numFmtId="166" fontId="119" fillId="0" borderId="10" xfId="1" applyNumberFormat="1" applyFont="1" applyFill="1" applyBorder="1" applyAlignment="1">
      <alignment horizontal="right" vertical="center" wrapText="1"/>
    </xf>
    <xf numFmtId="166" fontId="45" fillId="2" borderId="27" xfId="1" applyNumberFormat="1" applyFont="1" applyFill="1" applyBorder="1"/>
    <xf numFmtId="0" fontId="1" fillId="0" borderId="1" xfId="0" applyFont="1" applyFill="1" applyBorder="1" applyAlignment="1">
      <alignment horizontal="center"/>
    </xf>
    <xf numFmtId="0" fontId="104" fillId="0" borderId="1" xfId="0" applyFont="1" applyBorder="1"/>
    <xf numFmtId="166" fontId="119" fillId="0" borderId="1" xfId="1" applyNumberFormat="1" applyFont="1" applyFill="1" applyBorder="1" applyAlignment="1">
      <alignment horizontal="right" vertical="center" wrapText="1"/>
    </xf>
    <xf numFmtId="166" fontId="45" fillId="2" borderId="1" xfId="1" applyNumberFormat="1" applyFont="1" applyFill="1" applyBorder="1"/>
    <xf numFmtId="0" fontId="1" fillId="2" borderId="1" xfId="0" applyFont="1" applyFill="1" applyBorder="1" applyAlignment="1">
      <alignment horizontal="center"/>
    </xf>
    <xf numFmtId="166" fontId="28" fillId="2" borderId="1" xfId="0" applyNumberFormat="1" applyFont="1" applyFill="1" applyBorder="1"/>
    <xf numFmtId="166" fontId="119" fillId="2" borderId="1" xfId="1" applyNumberFormat="1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6" fontId="28" fillId="2" borderId="4" xfId="0" applyNumberFormat="1" applyFont="1" applyFill="1" applyBorder="1"/>
    <xf numFmtId="0" fontId="1" fillId="2" borderId="4" xfId="0" applyFont="1" applyFill="1" applyBorder="1"/>
    <xf numFmtId="166" fontId="45" fillId="2" borderId="4" xfId="1" applyNumberFormat="1" applyFont="1" applyFill="1" applyBorder="1" applyAlignment="1">
      <alignment horizontal="right" vertical="center" wrapText="1"/>
    </xf>
    <xf numFmtId="166" fontId="45" fillId="2" borderId="4" xfId="1" applyNumberFormat="1" applyFont="1" applyFill="1" applyBorder="1"/>
    <xf numFmtId="166" fontId="28" fillId="2" borderId="0" xfId="0" applyNumberFormat="1" applyFont="1" applyFill="1" applyBorder="1"/>
    <xf numFmtId="0" fontId="1" fillId="2" borderId="0" xfId="0" applyFont="1" applyFill="1" applyBorder="1"/>
    <xf numFmtId="166" fontId="45" fillId="2" borderId="0" xfId="1" applyNumberFormat="1" applyFont="1" applyFill="1" applyBorder="1" applyAlignment="1">
      <alignment horizontal="right" vertical="center" wrapText="1"/>
    </xf>
    <xf numFmtId="166" fontId="45" fillId="2" borderId="0" xfId="1" applyNumberFormat="1" applyFont="1" applyFill="1" applyBorder="1"/>
  </cellXfs>
  <cellStyles count="16">
    <cellStyle name="Comma" xfId="1" builtinId="3"/>
    <cellStyle name="Comma 2" xfId="5"/>
    <cellStyle name="Comma 3" xfId="14"/>
    <cellStyle name="Comma 39" xfId="9"/>
    <cellStyle name="Comma 4" xfId="12"/>
    <cellStyle name="Comma 6" xfId="2"/>
    <cellStyle name="Currency" xfId="3" builtinId="4"/>
    <cellStyle name="Currency 2" xfId="11"/>
    <cellStyle name="Normal" xfId="0" builtinId="0"/>
    <cellStyle name="Normal 2" xfId="15"/>
    <cellStyle name="Normal 2 2" xfId="13"/>
    <cellStyle name="Normal 2 2 2 3" xfId="8"/>
    <cellStyle name="Normal 4" xfId="4"/>
    <cellStyle name="Normal 5" xfId="10"/>
    <cellStyle name="Normal_Bieu mau huong dan XDDT nam 2010" xfId="7"/>
    <cellStyle name="Normal_Sheet1" xfId="6"/>
  </cellStyles>
  <dxfs count="18"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9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85</xdr:row>
      <xdr:rowOff>19050</xdr:rowOff>
    </xdr:from>
    <xdr:to>
      <xdr:col>0</xdr:col>
      <xdr:colOff>257175</xdr:colOff>
      <xdr:row>85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61950" y="1894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86</xdr:row>
      <xdr:rowOff>19050</xdr:rowOff>
    </xdr:from>
    <xdr:to>
      <xdr:col>0</xdr:col>
      <xdr:colOff>257175</xdr:colOff>
      <xdr:row>86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61950" y="1894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1</xdr:row>
      <xdr:rowOff>257175</xdr:rowOff>
    </xdr:from>
    <xdr:to>
      <xdr:col>1</xdr:col>
      <xdr:colOff>1209675</xdr:colOff>
      <xdr:row>1</xdr:row>
      <xdr:rowOff>257175</xdr:rowOff>
    </xdr:to>
    <xdr:cxnSp macro="">
      <xdr:nvCxnSpPr>
        <xdr:cNvPr id="2" name="Straight Connector 1"/>
        <xdr:cNvCxnSpPr/>
      </xdr:nvCxnSpPr>
      <xdr:spPr>
        <a:xfrm>
          <a:off x="1219200" y="523875"/>
          <a:ext cx="409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21</xdr:row>
      <xdr:rowOff>257175</xdr:rowOff>
    </xdr:from>
    <xdr:to>
      <xdr:col>1</xdr:col>
      <xdr:colOff>1209675</xdr:colOff>
      <xdr:row>21</xdr:row>
      <xdr:rowOff>257175</xdr:rowOff>
    </xdr:to>
    <xdr:cxnSp macro="">
      <xdr:nvCxnSpPr>
        <xdr:cNvPr id="3" name="Straight Connector 2"/>
        <xdr:cNvCxnSpPr/>
      </xdr:nvCxnSpPr>
      <xdr:spPr>
        <a:xfrm>
          <a:off x="1266825" y="476250"/>
          <a:ext cx="409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1</xdr:row>
      <xdr:rowOff>257175</xdr:rowOff>
    </xdr:from>
    <xdr:to>
      <xdr:col>1</xdr:col>
      <xdr:colOff>1209675</xdr:colOff>
      <xdr:row>1</xdr:row>
      <xdr:rowOff>257175</xdr:rowOff>
    </xdr:to>
    <xdr:cxnSp macro="">
      <xdr:nvCxnSpPr>
        <xdr:cNvPr id="2" name="Straight Connector 1"/>
        <xdr:cNvCxnSpPr/>
      </xdr:nvCxnSpPr>
      <xdr:spPr>
        <a:xfrm>
          <a:off x="1266825" y="476250"/>
          <a:ext cx="409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96"/>
  <sheetViews>
    <sheetView topLeftCell="I1" workbookViewId="0">
      <selection activeCell="U11" sqref="U11"/>
    </sheetView>
  </sheetViews>
  <sheetFormatPr defaultColWidth="9" defaultRowHeight="15"/>
  <cols>
    <col min="1" max="1" width="4.44140625" style="24" customWidth="1"/>
    <col min="2" max="2" width="21.109375" style="24" customWidth="1"/>
    <col min="3" max="3" width="9.21875" style="160" customWidth="1"/>
    <col min="4" max="4" width="9.33203125" style="160" customWidth="1"/>
    <col min="5" max="5" width="13.5546875" style="159" customWidth="1"/>
    <col min="6" max="6" width="11.44140625" style="159" customWidth="1"/>
    <col min="7" max="7" width="13.21875" style="159" customWidth="1"/>
    <col min="8" max="8" width="11.77734375" style="159" customWidth="1"/>
    <col min="9" max="10" width="11.33203125" style="159" customWidth="1"/>
    <col min="11" max="11" width="12.44140625" style="159" customWidth="1"/>
    <col min="12" max="12" width="11.44140625" style="159" customWidth="1"/>
    <col min="13" max="13" width="11.109375" style="159" customWidth="1"/>
    <col min="14" max="14" width="12.33203125" style="159" customWidth="1"/>
    <col min="15" max="15" width="0" style="24" hidden="1" customWidth="1"/>
    <col min="16" max="16" width="16" style="24" customWidth="1"/>
    <col min="17" max="17" width="13.33203125" style="24" customWidth="1"/>
    <col min="18" max="18" width="12.77734375" style="24" customWidth="1"/>
    <col min="19" max="19" width="10.33203125" style="84" customWidth="1"/>
    <col min="20" max="20" width="11.33203125" style="84" customWidth="1"/>
    <col min="21" max="21" width="14.44140625" style="24" customWidth="1"/>
    <col min="22" max="22" width="10.5546875" style="24" customWidth="1"/>
    <col min="23" max="16384" width="9" style="24"/>
  </cols>
  <sheetData>
    <row r="1" spans="1:22" ht="15.75">
      <c r="A1" s="837" t="s">
        <v>49</v>
      </c>
      <c r="B1" s="837"/>
      <c r="C1" s="227"/>
      <c r="D1" s="104"/>
      <c r="E1" s="73"/>
      <c r="F1" s="73"/>
      <c r="G1" s="73"/>
      <c r="H1" s="73"/>
      <c r="I1" s="73"/>
      <c r="J1" s="73"/>
      <c r="K1" s="99"/>
      <c r="L1" s="99"/>
      <c r="M1" s="83"/>
      <c r="N1" s="83"/>
      <c r="O1" s="2"/>
      <c r="P1" s="3"/>
      <c r="Q1" s="3"/>
      <c r="R1" s="84"/>
    </row>
    <row r="2" spans="1:22" ht="15.75">
      <c r="A2" s="838" t="s">
        <v>39</v>
      </c>
      <c r="B2" s="838"/>
      <c r="C2" s="228"/>
      <c r="D2" s="105"/>
      <c r="E2" s="73"/>
      <c r="F2" s="73"/>
      <c r="G2" s="73"/>
      <c r="H2" s="73"/>
      <c r="I2" s="73"/>
      <c r="J2" s="73"/>
      <c r="K2" s="93"/>
      <c r="L2" s="93"/>
      <c r="M2" s="93"/>
      <c r="N2" s="93"/>
      <c r="O2" s="2"/>
      <c r="P2" s="3"/>
      <c r="Q2" s="3"/>
      <c r="R2" s="84"/>
      <c r="S2" s="3"/>
    </row>
    <row r="3" spans="1:22" ht="15.75">
      <c r="A3" s="517"/>
      <c r="B3" s="517"/>
      <c r="C3" s="228"/>
      <c r="D3" s="105"/>
      <c r="E3" s="73"/>
      <c r="F3" s="73"/>
      <c r="G3" s="73"/>
      <c r="H3" s="73"/>
      <c r="I3" s="73"/>
      <c r="J3" s="73"/>
      <c r="K3" s="93"/>
      <c r="L3" s="93"/>
      <c r="M3" s="93"/>
      <c r="N3" s="93"/>
      <c r="O3" s="2"/>
      <c r="P3" s="3"/>
      <c r="Q3" s="3"/>
      <c r="R3" s="84"/>
    </row>
    <row r="4" spans="1:22" ht="18" customHeight="1">
      <c r="A4" s="84"/>
      <c r="B4" s="52"/>
      <c r="C4" s="839" t="s">
        <v>189</v>
      </c>
      <c r="D4" s="839"/>
      <c r="E4" s="839"/>
      <c r="F4" s="839"/>
      <c r="G4" s="839"/>
      <c r="H4" s="839"/>
      <c r="I4" s="839"/>
      <c r="J4" s="839"/>
      <c r="K4" s="841"/>
      <c r="L4" s="841"/>
      <c r="M4" s="841"/>
      <c r="N4" s="841"/>
      <c r="O4" s="841"/>
      <c r="P4" s="841"/>
      <c r="Q4" s="841"/>
      <c r="R4" s="841"/>
      <c r="S4" s="608"/>
      <c r="T4" s="608"/>
    </row>
    <row r="5" spans="1:22" ht="12.75" customHeight="1">
      <c r="A5" s="84"/>
      <c r="B5" s="70"/>
      <c r="C5" s="840" t="s">
        <v>157</v>
      </c>
      <c r="D5" s="840"/>
      <c r="E5" s="840"/>
      <c r="F5" s="840"/>
      <c r="G5" s="840"/>
      <c r="H5" s="840"/>
      <c r="I5" s="840"/>
      <c r="J5" s="84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2" ht="16.5" customHeight="1">
      <c r="A6" s="845" t="s">
        <v>160</v>
      </c>
      <c r="B6" s="845"/>
      <c r="C6" s="845"/>
      <c r="D6" s="845"/>
      <c r="E6" s="845"/>
      <c r="F6" s="845"/>
      <c r="G6" s="845"/>
      <c r="H6" s="845"/>
      <c r="I6" s="845"/>
      <c r="J6" s="845"/>
      <c r="K6" s="47"/>
      <c r="L6" s="47"/>
      <c r="M6" s="47"/>
      <c r="N6" s="47"/>
      <c r="O6" s="47"/>
      <c r="P6" s="47"/>
      <c r="Q6" s="47"/>
      <c r="R6" s="47"/>
    </row>
    <row r="7" spans="1:22" ht="21.75" customHeight="1">
      <c r="A7" s="4"/>
      <c r="B7" s="78"/>
      <c r="C7" s="106"/>
      <c r="D7" s="72"/>
      <c r="E7" s="73"/>
      <c r="F7" s="73"/>
      <c r="G7" s="73"/>
      <c r="H7" s="73"/>
      <c r="I7" s="73"/>
      <c r="J7" s="73"/>
      <c r="K7" s="73"/>
      <c r="L7" s="73"/>
      <c r="M7" s="103"/>
      <c r="N7" s="103"/>
      <c r="O7" s="2"/>
      <c r="P7" s="842" t="s">
        <v>40</v>
      </c>
      <c r="Q7" s="842"/>
    </row>
    <row r="8" spans="1:22" ht="18" customHeight="1">
      <c r="A8" s="850" t="s">
        <v>12</v>
      </c>
      <c r="B8" s="850" t="s">
        <v>50</v>
      </c>
      <c r="C8" s="856" t="s">
        <v>158</v>
      </c>
      <c r="D8" s="856" t="s">
        <v>190</v>
      </c>
      <c r="E8" s="843" t="s">
        <v>203</v>
      </c>
      <c r="F8" s="844"/>
      <c r="G8" s="844"/>
      <c r="H8" s="844"/>
      <c r="I8" s="844"/>
      <c r="J8" s="844"/>
      <c r="K8" s="844"/>
      <c r="L8" s="844"/>
      <c r="M8" s="844"/>
      <c r="N8" s="844"/>
      <c r="O8" s="844"/>
      <c r="P8" s="844"/>
      <c r="Q8" s="844"/>
      <c r="R8" s="844"/>
      <c r="S8" s="831" t="s">
        <v>205</v>
      </c>
      <c r="T8" s="832"/>
      <c r="U8" s="835" t="s">
        <v>159</v>
      </c>
      <c r="V8" s="835" t="s">
        <v>207</v>
      </c>
    </row>
    <row r="9" spans="1:22" ht="30.75" customHeight="1">
      <c r="A9" s="850"/>
      <c r="B9" s="850"/>
      <c r="C9" s="856"/>
      <c r="D9" s="856"/>
      <c r="E9" s="851" t="s">
        <v>71</v>
      </c>
      <c r="F9" s="851" t="s">
        <v>193</v>
      </c>
      <c r="G9" s="851" t="s">
        <v>28</v>
      </c>
      <c r="H9" s="853" t="s">
        <v>31</v>
      </c>
      <c r="I9" s="854"/>
      <c r="J9" s="854"/>
      <c r="K9" s="854"/>
      <c r="L9" s="854"/>
      <c r="M9" s="854"/>
      <c r="N9" s="855"/>
      <c r="O9" s="849" t="s">
        <v>14</v>
      </c>
      <c r="P9" s="843" t="s">
        <v>201</v>
      </c>
      <c r="Q9" s="844"/>
      <c r="R9" s="844"/>
      <c r="S9" s="833"/>
      <c r="T9" s="834"/>
      <c r="U9" s="836"/>
      <c r="V9" s="836"/>
    </row>
    <row r="10" spans="1:22" ht="87.75" customHeight="1">
      <c r="A10" s="850"/>
      <c r="B10" s="850"/>
      <c r="C10" s="856"/>
      <c r="D10" s="856"/>
      <c r="E10" s="852"/>
      <c r="F10" s="852"/>
      <c r="G10" s="852"/>
      <c r="H10" s="192" t="s">
        <v>194</v>
      </c>
      <c r="I10" s="192" t="s">
        <v>195</v>
      </c>
      <c r="J10" s="441" t="s">
        <v>196</v>
      </c>
      <c r="K10" s="193" t="s">
        <v>197</v>
      </c>
      <c r="L10" s="193" t="s">
        <v>198</v>
      </c>
      <c r="M10" s="193" t="s">
        <v>199</v>
      </c>
      <c r="N10" s="193" t="s">
        <v>200</v>
      </c>
      <c r="O10" s="850"/>
      <c r="P10" s="193" t="s">
        <v>34</v>
      </c>
      <c r="Q10" s="194" t="s">
        <v>30</v>
      </c>
      <c r="R10" s="591" t="s">
        <v>202</v>
      </c>
      <c r="S10" s="591" t="s">
        <v>206</v>
      </c>
      <c r="T10" s="591" t="s">
        <v>210</v>
      </c>
      <c r="U10" s="836"/>
      <c r="V10" s="836"/>
    </row>
    <row r="11" spans="1:22" s="157" customFormat="1" ht="33" customHeight="1">
      <c r="A11" s="29" t="s">
        <v>16</v>
      </c>
      <c r="B11" s="29" t="s">
        <v>17</v>
      </c>
      <c r="C11" s="178">
        <v>1</v>
      </c>
      <c r="D11" s="178">
        <v>2</v>
      </c>
      <c r="E11" s="188" t="s">
        <v>204</v>
      </c>
      <c r="F11" s="188">
        <v>4</v>
      </c>
      <c r="G11" s="188" t="s">
        <v>100</v>
      </c>
      <c r="H11" s="177">
        <v>6</v>
      </c>
      <c r="I11" s="177">
        <v>7</v>
      </c>
      <c r="J11" s="188">
        <v>8</v>
      </c>
      <c r="K11" s="177">
        <v>9</v>
      </c>
      <c r="L11" s="188">
        <v>10</v>
      </c>
      <c r="M11" s="177">
        <v>11</v>
      </c>
      <c r="N11" s="177">
        <v>12</v>
      </c>
      <c r="O11" s="96" t="s">
        <v>32</v>
      </c>
      <c r="P11" s="188" t="s">
        <v>101</v>
      </c>
      <c r="Q11" s="188" t="s">
        <v>102</v>
      </c>
      <c r="R11" s="592" t="s">
        <v>103</v>
      </c>
      <c r="S11" s="610" t="s">
        <v>218</v>
      </c>
      <c r="T11" s="610" t="s">
        <v>208</v>
      </c>
      <c r="U11" s="603" t="s">
        <v>219</v>
      </c>
      <c r="V11" s="616" t="s">
        <v>209</v>
      </c>
    </row>
    <row r="12" spans="1:22" s="149" customFormat="1" ht="18.95" customHeight="1">
      <c r="A12" s="195"/>
      <c r="B12" s="182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593"/>
      <c r="S12" s="629"/>
      <c r="T12" s="629"/>
      <c r="U12" s="602"/>
      <c r="V12" s="617"/>
    </row>
    <row r="13" spans="1:22" s="158" customFormat="1" ht="27" customHeight="1">
      <c r="A13" s="217"/>
      <c r="B13" s="218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594"/>
      <c r="S13" s="629"/>
      <c r="T13" s="629"/>
      <c r="U13" s="602"/>
      <c r="V13" s="618"/>
    </row>
    <row r="14" spans="1:22" s="145" customFormat="1" ht="18.95" customHeight="1">
      <c r="A14" s="220"/>
      <c r="B14" s="220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595"/>
      <c r="S14" s="629"/>
      <c r="T14" s="629"/>
      <c r="U14" s="599"/>
      <c r="V14" s="599"/>
    </row>
    <row r="15" spans="1:22" s="145" customFormat="1" ht="18.95" customHeight="1">
      <c r="A15" s="208"/>
      <c r="B15" s="209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596"/>
      <c r="S15" s="629"/>
      <c r="T15" s="629"/>
      <c r="U15" s="600"/>
      <c r="V15" s="599"/>
    </row>
    <row r="16" spans="1:22" s="145" customFormat="1" ht="18.95" customHeight="1">
      <c r="A16" s="208"/>
      <c r="B16" s="222"/>
      <c r="C16" s="211"/>
      <c r="D16" s="211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597"/>
      <c r="S16" s="630"/>
      <c r="T16" s="630"/>
      <c r="U16" s="600"/>
      <c r="V16" s="599"/>
    </row>
    <row r="17" spans="1:22" s="145" customFormat="1" ht="18.95" customHeight="1">
      <c r="A17" s="208"/>
      <c r="B17" s="222"/>
      <c r="C17" s="211"/>
      <c r="D17" s="211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597"/>
      <c r="S17" s="631"/>
      <c r="T17" s="631"/>
      <c r="U17" s="600"/>
      <c r="V17" s="599"/>
    </row>
    <row r="18" spans="1:22" s="206" customFormat="1" ht="18.95" customHeight="1">
      <c r="A18" s="207"/>
      <c r="B18" s="224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595"/>
      <c r="S18" s="629"/>
      <c r="T18" s="629"/>
      <c r="U18" s="601"/>
      <c r="V18" s="619"/>
    </row>
    <row r="19" spans="1:22" s="145" customFormat="1" ht="18.95" customHeight="1">
      <c r="A19" s="208"/>
      <c r="B19" s="225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596"/>
      <c r="S19" s="632"/>
      <c r="T19" s="633"/>
      <c r="U19" s="600"/>
      <c r="V19" s="599"/>
    </row>
    <row r="20" spans="1:22" s="145" customFormat="1" ht="18.95" customHeight="1">
      <c r="A20" s="208"/>
      <c r="B20" s="222"/>
      <c r="C20" s="211"/>
      <c r="D20" s="211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597"/>
      <c r="S20" s="629"/>
      <c r="T20" s="629"/>
      <c r="U20" s="600"/>
      <c r="V20" s="599"/>
    </row>
    <row r="21" spans="1:22" s="145" customFormat="1" ht="18.95" customHeight="1">
      <c r="A21" s="208"/>
      <c r="B21" s="222"/>
      <c r="C21" s="211"/>
      <c r="D21" s="211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597"/>
      <c r="S21" s="634"/>
      <c r="T21" s="634"/>
      <c r="U21" s="600"/>
      <c r="V21" s="599"/>
    </row>
    <row r="22" spans="1:22" s="145" customFormat="1" ht="18.95" customHeight="1">
      <c r="A22" s="208"/>
      <c r="B22" s="225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596"/>
      <c r="S22" s="635"/>
      <c r="T22" s="635"/>
      <c r="U22" s="600"/>
      <c r="V22" s="599"/>
    </row>
    <row r="23" spans="1:22" s="214" customFormat="1" ht="15.75">
      <c r="A23" s="208"/>
      <c r="B23" s="209"/>
      <c r="C23" s="210"/>
      <c r="D23" s="210"/>
      <c r="E23" s="211"/>
      <c r="F23" s="211"/>
      <c r="G23" s="212"/>
      <c r="H23" s="211"/>
      <c r="I23" s="211"/>
      <c r="J23" s="211"/>
      <c r="K23" s="211"/>
      <c r="L23" s="211"/>
      <c r="M23" s="211"/>
      <c r="N23" s="211"/>
      <c r="O23" s="213"/>
      <c r="P23" s="223"/>
      <c r="Q23" s="223"/>
      <c r="R23" s="598"/>
      <c r="S23" s="632"/>
      <c r="T23" s="636"/>
      <c r="U23" s="213"/>
      <c r="V23" s="213"/>
    </row>
    <row r="24" spans="1:22" s="214" customFormat="1" ht="15.75">
      <c r="A24" s="208"/>
      <c r="B24" s="209"/>
      <c r="C24" s="210"/>
      <c r="D24" s="210"/>
      <c r="E24" s="211"/>
      <c r="F24" s="211"/>
      <c r="G24" s="212"/>
      <c r="H24" s="211"/>
      <c r="I24" s="215"/>
      <c r="J24" s="215"/>
      <c r="K24" s="215"/>
      <c r="L24" s="215"/>
      <c r="M24" s="215"/>
      <c r="N24" s="215"/>
      <c r="O24" s="216"/>
      <c r="P24" s="223"/>
      <c r="Q24" s="223"/>
      <c r="R24" s="598"/>
      <c r="S24" s="632"/>
      <c r="T24" s="636"/>
      <c r="U24" s="213"/>
      <c r="V24" s="213"/>
    </row>
    <row r="25" spans="1:22" s="214" customFormat="1" ht="15.75">
      <c r="A25" s="208"/>
      <c r="B25" s="210"/>
      <c r="C25" s="210"/>
      <c r="D25" s="210"/>
      <c r="E25" s="211"/>
      <c r="F25" s="211"/>
      <c r="G25" s="212"/>
      <c r="H25" s="211"/>
      <c r="I25" s="211"/>
      <c r="J25" s="211"/>
      <c r="K25" s="211"/>
      <c r="L25" s="211"/>
      <c r="M25" s="211"/>
      <c r="N25" s="211"/>
      <c r="O25" s="213"/>
      <c r="P25" s="223"/>
      <c r="Q25" s="223"/>
      <c r="R25" s="598"/>
      <c r="S25" s="611"/>
      <c r="T25" s="612"/>
      <c r="U25" s="213"/>
      <c r="V25" s="213"/>
    </row>
    <row r="26" spans="1:22">
      <c r="B26" s="155"/>
      <c r="S26" s="24"/>
      <c r="T26" s="24"/>
    </row>
    <row r="27" spans="1:22">
      <c r="S27" s="24"/>
      <c r="T27" s="24"/>
    </row>
    <row r="28" spans="1:22">
      <c r="S28" s="613"/>
      <c r="T28" s="613"/>
    </row>
    <row r="29" spans="1:22">
      <c r="S29" s="614"/>
      <c r="T29" s="614"/>
    </row>
    <row r="30" spans="1:22">
      <c r="S30" s="614"/>
      <c r="T30" s="614"/>
    </row>
    <row r="31" spans="1:22">
      <c r="S31" s="614"/>
      <c r="T31" s="614"/>
    </row>
    <row r="32" spans="1:22">
      <c r="S32" s="614"/>
      <c r="T32" s="614"/>
    </row>
    <row r="33" spans="19:20">
      <c r="S33" s="614"/>
      <c r="T33" s="614"/>
    </row>
    <row r="34" spans="19:20">
      <c r="S34" s="614"/>
      <c r="T34" s="614"/>
    </row>
    <row r="35" spans="19:20">
      <c r="S35" s="614"/>
      <c r="T35" s="614"/>
    </row>
    <row r="36" spans="19:20">
      <c r="S36" s="614"/>
      <c r="T36" s="614"/>
    </row>
    <row r="37" spans="19:20">
      <c r="S37" s="613"/>
      <c r="T37" s="613"/>
    </row>
    <row r="38" spans="19:20">
      <c r="S38" s="613"/>
      <c r="T38" s="613"/>
    </row>
    <row r="39" spans="19:20">
      <c r="S39" s="613"/>
      <c r="T39" s="613"/>
    </row>
    <row r="40" spans="19:20">
      <c r="S40" s="613"/>
      <c r="T40" s="613"/>
    </row>
    <row r="41" spans="19:20">
      <c r="S41" s="613"/>
      <c r="T41" s="613"/>
    </row>
    <row r="42" spans="19:20">
      <c r="S42" s="613"/>
      <c r="T42" s="613"/>
    </row>
    <row r="43" spans="19:20">
      <c r="S43" s="613"/>
      <c r="T43" s="613"/>
    </row>
    <row r="44" spans="19:20">
      <c r="S44" s="613"/>
      <c r="T44" s="613"/>
    </row>
    <row r="45" spans="19:20">
      <c r="S45" s="613"/>
      <c r="T45" s="613"/>
    </row>
    <row r="46" spans="19:20">
      <c r="S46" s="613"/>
      <c r="T46" s="613"/>
    </row>
    <row r="47" spans="19:20">
      <c r="S47" s="613"/>
      <c r="T47" s="613"/>
    </row>
    <row r="48" spans="19:20">
      <c r="S48" s="613"/>
      <c r="T48" s="613"/>
    </row>
    <row r="49" spans="19:20">
      <c r="S49" s="613"/>
      <c r="T49" s="613"/>
    </row>
    <row r="50" spans="19:20">
      <c r="S50" s="613"/>
      <c r="T50" s="613"/>
    </row>
    <row r="51" spans="19:20">
      <c r="S51" s="613"/>
      <c r="T51" s="613"/>
    </row>
    <row r="52" spans="19:20">
      <c r="S52" s="613"/>
      <c r="T52" s="613"/>
    </row>
    <row r="53" spans="19:20">
      <c r="S53" s="613"/>
      <c r="T53" s="613"/>
    </row>
    <row r="54" spans="19:20">
      <c r="S54" s="613"/>
      <c r="T54" s="613"/>
    </row>
    <row r="55" spans="19:20">
      <c r="S55" s="613"/>
      <c r="T55" s="613"/>
    </row>
    <row r="56" spans="19:20">
      <c r="S56" s="613"/>
      <c r="T56" s="613"/>
    </row>
    <row r="57" spans="19:20">
      <c r="S57" s="613"/>
      <c r="T57" s="613"/>
    </row>
    <row r="58" spans="19:20">
      <c r="S58" s="613"/>
      <c r="T58" s="613"/>
    </row>
    <row r="59" spans="19:20">
      <c r="S59" s="613"/>
      <c r="T59" s="613"/>
    </row>
    <row r="60" spans="19:20">
      <c r="S60" s="613"/>
      <c r="T60" s="613"/>
    </row>
    <row r="61" spans="19:20">
      <c r="S61" s="613"/>
      <c r="T61" s="613"/>
    </row>
    <row r="62" spans="19:20">
      <c r="S62" s="613"/>
      <c r="T62" s="613"/>
    </row>
    <row r="63" spans="19:20">
      <c r="S63" s="613"/>
      <c r="T63" s="613"/>
    </row>
    <row r="64" spans="19:20">
      <c r="S64" s="613"/>
      <c r="T64" s="613"/>
    </row>
    <row r="65" spans="19:20">
      <c r="S65" s="613"/>
      <c r="T65" s="613"/>
    </row>
    <row r="66" spans="19:20">
      <c r="S66" s="613"/>
      <c r="T66" s="613"/>
    </row>
    <row r="67" spans="19:20">
      <c r="S67" s="613"/>
      <c r="T67" s="613"/>
    </row>
    <row r="68" spans="19:20">
      <c r="S68" s="613"/>
      <c r="T68" s="613"/>
    </row>
    <row r="69" spans="19:20">
      <c r="S69" s="613"/>
      <c r="T69" s="613"/>
    </row>
    <row r="70" spans="19:20">
      <c r="S70" s="613"/>
      <c r="T70" s="613"/>
    </row>
    <row r="71" spans="19:20">
      <c r="S71" s="613"/>
      <c r="T71" s="613"/>
    </row>
    <row r="72" spans="19:20">
      <c r="S72" s="613"/>
      <c r="T72" s="613"/>
    </row>
    <row r="73" spans="19:20">
      <c r="S73" s="613"/>
      <c r="T73" s="613"/>
    </row>
    <row r="74" spans="19:20">
      <c r="S74" s="613"/>
      <c r="T74" s="613"/>
    </row>
    <row r="75" spans="19:20">
      <c r="S75" s="613"/>
      <c r="T75" s="613"/>
    </row>
    <row r="76" spans="19:20">
      <c r="S76" s="613"/>
      <c r="T76" s="613"/>
    </row>
    <row r="77" spans="19:20">
      <c r="S77" s="613"/>
      <c r="T77" s="613"/>
    </row>
    <row r="78" spans="19:20">
      <c r="S78" s="613"/>
      <c r="T78" s="613"/>
    </row>
    <row r="79" spans="19:20">
      <c r="S79" s="613"/>
      <c r="T79" s="613"/>
    </row>
    <row r="80" spans="19:20">
      <c r="S80" s="613"/>
      <c r="T80" s="613"/>
    </row>
    <row r="81" spans="19:20">
      <c r="S81" s="613"/>
      <c r="T81" s="613"/>
    </row>
    <row r="82" spans="19:20">
      <c r="S82" s="613"/>
      <c r="T82" s="613"/>
    </row>
    <row r="83" spans="19:20">
      <c r="S83" s="613"/>
      <c r="T83" s="613"/>
    </row>
    <row r="84" spans="19:20">
      <c r="S84" s="613"/>
      <c r="T84" s="613"/>
    </row>
    <row r="85" spans="19:20">
      <c r="S85" s="613"/>
      <c r="T85" s="613"/>
    </row>
    <row r="86" spans="19:20">
      <c r="S86" s="613"/>
      <c r="T86" s="613"/>
    </row>
    <row r="87" spans="19:20">
      <c r="S87" s="613"/>
      <c r="T87" s="613"/>
    </row>
    <row r="88" spans="19:20">
      <c r="S88" s="613"/>
      <c r="T88" s="613"/>
    </row>
    <row r="89" spans="19:20">
      <c r="S89" s="613"/>
      <c r="T89" s="613"/>
    </row>
    <row r="90" spans="19:20">
      <c r="S90" s="613"/>
      <c r="T90" s="613"/>
    </row>
    <row r="91" spans="19:20">
      <c r="S91" s="613"/>
      <c r="T91" s="613"/>
    </row>
    <row r="92" spans="19:20">
      <c r="S92" s="613"/>
      <c r="T92" s="613"/>
    </row>
    <row r="93" spans="19:20">
      <c r="S93" s="613"/>
      <c r="T93" s="613"/>
    </row>
    <row r="94" spans="19:20">
      <c r="S94" s="613"/>
      <c r="T94" s="613"/>
    </row>
    <row r="95" spans="19:20">
      <c r="S95" s="613"/>
      <c r="T95" s="613"/>
    </row>
    <row r="96" spans="19:20">
      <c r="S96" s="613"/>
      <c r="T96" s="613"/>
    </row>
    <row r="279" spans="1:20" s="107" customFormat="1" ht="153" customHeight="1">
      <c r="C279" s="161"/>
      <c r="D279" s="161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S279" s="84"/>
      <c r="T279" s="84"/>
    </row>
    <row r="280" spans="1:20" s="107" customFormat="1">
      <c r="C280" s="161"/>
      <c r="D280" s="161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S280" s="84"/>
      <c r="T280" s="84"/>
    </row>
    <row r="281" spans="1:20" s="107" customFormat="1">
      <c r="C281" s="161"/>
      <c r="D281" s="161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S281" s="84"/>
      <c r="T281" s="84"/>
    </row>
    <row r="282" spans="1:20" s="107" customFormat="1">
      <c r="C282" s="161"/>
      <c r="D282" s="161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S282" s="84"/>
      <c r="T282" s="84"/>
    </row>
    <row r="283" spans="1:20" s="107" customFormat="1">
      <c r="A283" s="846"/>
      <c r="B283" s="847"/>
      <c r="C283" s="847"/>
      <c r="D283" s="847"/>
      <c r="E283" s="847"/>
      <c r="F283" s="847"/>
      <c r="G283" s="847"/>
      <c r="H283" s="847"/>
      <c r="I283" s="847"/>
      <c r="J283" s="847"/>
      <c r="K283" s="847"/>
      <c r="L283" s="847"/>
      <c r="M283" s="847"/>
      <c r="N283" s="847"/>
      <c r="O283" s="847"/>
      <c r="S283" s="84"/>
      <c r="T283" s="84"/>
    </row>
    <row r="284" spans="1:20" s="107" customFormat="1" ht="18.75">
      <c r="A284" s="74"/>
      <c r="B284" s="75"/>
      <c r="C284" s="101"/>
      <c r="D284" s="101"/>
      <c r="E284" s="97"/>
      <c r="F284" s="97"/>
      <c r="G284" s="97"/>
      <c r="H284" s="97"/>
      <c r="I284" s="97"/>
      <c r="J284" s="97"/>
      <c r="K284" s="848"/>
      <c r="L284" s="848"/>
      <c r="M284" s="848"/>
      <c r="N284" s="98"/>
      <c r="O284" s="156"/>
      <c r="S284" s="84"/>
      <c r="T284" s="84"/>
    </row>
    <row r="285" spans="1:20" s="107" customFormat="1" ht="18.75">
      <c r="A285" s="76"/>
      <c r="B285" s="77"/>
      <c r="C285" s="102"/>
      <c r="D285" s="102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156"/>
      <c r="S285" s="84"/>
      <c r="T285" s="84"/>
    </row>
    <row r="286" spans="1:20" s="107" customFormat="1">
      <c r="C286" s="161"/>
      <c r="D286" s="161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S286" s="84"/>
      <c r="T286" s="84"/>
    </row>
    <row r="287" spans="1:20" s="107" customFormat="1">
      <c r="C287" s="161"/>
      <c r="D287" s="161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S287" s="84"/>
      <c r="T287" s="84"/>
    </row>
    <row r="288" spans="1:20" s="107" customFormat="1">
      <c r="C288" s="161"/>
      <c r="D288" s="161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S288" s="84"/>
      <c r="T288" s="84"/>
    </row>
    <row r="289" spans="3:20" s="107" customFormat="1">
      <c r="C289" s="161"/>
      <c r="D289" s="161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S289" s="615"/>
      <c r="T289" s="615"/>
    </row>
    <row r="290" spans="3:20" s="107" customFormat="1">
      <c r="C290" s="161"/>
      <c r="D290" s="161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S290" s="615"/>
      <c r="T290" s="615"/>
    </row>
    <row r="291" spans="3:20" s="107" customFormat="1">
      <c r="C291" s="161"/>
      <c r="D291" s="161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S291" s="615"/>
      <c r="T291" s="615"/>
    </row>
    <row r="292" spans="3:20" s="107" customFormat="1">
      <c r="C292" s="161"/>
      <c r="D292" s="161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S292" s="615"/>
      <c r="T292" s="615"/>
    </row>
    <row r="293" spans="3:20" s="107" customFormat="1">
      <c r="C293" s="161"/>
      <c r="D293" s="161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S293" s="615"/>
      <c r="T293" s="615"/>
    </row>
    <row r="294" spans="3:20" s="107" customFormat="1">
      <c r="C294" s="161"/>
      <c r="D294" s="161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S294" s="615"/>
      <c r="T294" s="615"/>
    </row>
    <row r="295" spans="3:20">
      <c r="S295" s="615"/>
      <c r="T295" s="615"/>
    </row>
    <row r="296" spans="3:20">
      <c r="S296" s="615"/>
      <c r="T296" s="615"/>
    </row>
  </sheetData>
  <mergeCells count="23">
    <mergeCell ref="A283:O283"/>
    <mergeCell ref="K284:M284"/>
    <mergeCell ref="O9:O10"/>
    <mergeCell ref="E9:E10"/>
    <mergeCell ref="F9:F10"/>
    <mergeCell ref="G9:G10"/>
    <mergeCell ref="H9:N9"/>
    <mergeCell ref="A8:A10"/>
    <mergeCell ref="B8:B10"/>
    <mergeCell ref="D8:D10"/>
    <mergeCell ref="C8:C10"/>
    <mergeCell ref="E8:R8"/>
    <mergeCell ref="S8:T9"/>
    <mergeCell ref="V8:V10"/>
    <mergeCell ref="U8:U10"/>
    <mergeCell ref="A1:B1"/>
    <mergeCell ref="A2:B2"/>
    <mergeCell ref="C4:J4"/>
    <mergeCell ref="C5:J5"/>
    <mergeCell ref="K4:R4"/>
    <mergeCell ref="P7:Q7"/>
    <mergeCell ref="P9:R9"/>
    <mergeCell ref="A6:J6"/>
  </mergeCells>
  <phoneticPr fontId="17" type="noConversion"/>
  <pageMargins left="0" right="0" top="0" bottom="0" header="0.511811023622047" footer="0.511811023622047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opLeftCell="A4" workbookViewId="0">
      <selection activeCell="I25" sqref="I25"/>
    </sheetView>
  </sheetViews>
  <sheetFormatPr defaultColWidth="9" defaultRowHeight="15.75"/>
  <cols>
    <col min="1" max="1" width="4.109375" style="346" customWidth="1"/>
    <col min="2" max="2" width="29.109375" style="24" customWidth="1"/>
    <col min="3" max="3" width="10.21875" style="24" customWidth="1"/>
    <col min="4" max="4" width="12.77734375" style="24" customWidth="1"/>
    <col min="5" max="5" width="11.21875" style="24" customWidth="1"/>
    <col min="6" max="6" width="14" style="24" customWidth="1"/>
    <col min="7" max="7" width="11" style="24" customWidth="1"/>
    <col min="8" max="8" width="10.77734375" style="24" customWidth="1"/>
    <col min="9" max="9" width="13.109375" style="24" customWidth="1"/>
    <col min="10" max="10" width="14.44140625" style="24" customWidth="1"/>
    <col min="11" max="11" width="11.77734375" style="22" bestFit="1" customWidth="1"/>
    <col min="12" max="12" width="12.44140625" style="22" customWidth="1"/>
    <col min="13" max="13" width="13" style="24" customWidth="1"/>
    <col min="14" max="14" width="10.77734375" style="24" customWidth="1"/>
    <col min="15" max="16384" width="9" style="24"/>
  </cols>
  <sheetData>
    <row r="1" spans="1:16">
      <c r="A1" s="941" t="s">
        <v>49</v>
      </c>
      <c r="B1" s="941"/>
      <c r="I1" s="942" t="s">
        <v>94</v>
      </c>
      <c r="J1" s="943"/>
    </row>
    <row r="2" spans="1:16">
      <c r="A2" s="944" t="s">
        <v>38</v>
      </c>
      <c r="B2" s="944"/>
      <c r="C2" s="240"/>
      <c r="D2" s="241"/>
      <c r="E2" s="241"/>
      <c r="F2" s="241"/>
      <c r="G2" s="241"/>
      <c r="H2" s="241"/>
      <c r="I2" s="241"/>
      <c r="J2" s="242"/>
    </row>
    <row r="3" spans="1:16">
      <c r="A3" s="243"/>
      <c r="B3" s="244"/>
      <c r="C3" s="244"/>
      <c r="D3" s="241"/>
      <c r="E3" s="241"/>
      <c r="F3" s="241"/>
      <c r="G3" s="241"/>
      <c r="H3" s="241"/>
      <c r="I3" s="241"/>
    </row>
    <row r="4" spans="1:16" ht="18.75">
      <c r="A4" s="945" t="s">
        <v>220</v>
      </c>
      <c r="B4" s="946"/>
      <c r="C4" s="946"/>
      <c r="D4" s="946"/>
      <c r="E4" s="946"/>
      <c r="F4" s="946"/>
      <c r="G4" s="946"/>
      <c r="H4" s="946"/>
      <c r="I4" s="946"/>
      <c r="J4" s="946"/>
    </row>
    <row r="5" spans="1:16">
      <c r="A5" s="944" t="s">
        <v>69</v>
      </c>
      <c r="B5" s="947"/>
      <c r="C5" s="947"/>
      <c r="D5" s="947"/>
      <c r="E5" s="947"/>
      <c r="F5" s="947"/>
      <c r="G5" s="947"/>
      <c r="H5" s="947"/>
      <c r="I5" s="947"/>
      <c r="J5" s="947"/>
    </row>
    <row r="6" spans="1:16" ht="17.25" customHeight="1">
      <c r="A6" s="845" t="s">
        <v>160</v>
      </c>
      <c r="B6" s="845"/>
      <c r="C6" s="845"/>
      <c r="D6" s="845"/>
      <c r="E6" s="845"/>
      <c r="F6" s="845"/>
      <c r="G6" s="845"/>
      <c r="H6" s="845"/>
      <c r="I6" s="845"/>
      <c r="J6" s="845"/>
    </row>
    <row r="7" spans="1:16">
      <c r="A7" s="446"/>
      <c r="B7" s="446"/>
      <c r="C7" s="446"/>
      <c r="D7" s="446"/>
      <c r="E7" s="446"/>
      <c r="F7" s="446"/>
      <c r="G7" s="446"/>
      <c r="H7" s="446"/>
      <c r="I7" s="446"/>
      <c r="J7" s="446"/>
    </row>
    <row r="8" spans="1:16">
      <c r="A8" s="245"/>
      <c r="B8" s="241"/>
      <c r="C8" s="241"/>
      <c r="D8" s="241"/>
      <c r="E8" s="241"/>
      <c r="F8" s="241"/>
      <c r="G8" s="241"/>
      <c r="H8" s="241"/>
      <c r="I8" s="952" t="s">
        <v>40</v>
      </c>
      <c r="J8" s="952"/>
    </row>
    <row r="9" spans="1:16" ht="32.25" customHeight="1">
      <c r="A9" s="953" t="s">
        <v>19</v>
      </c>
      <c r="B9" s="956" t="s">
        <v>50</v>
      </c>
      <c r="C9" s="956" t="s">
        <v>191</v>
      </c>
      <c r="D9" s="957" t="s">
        <v>70</v>
      </c>
      <c r="E9" s="958"/>
      <c r="F9" s="958"/>
      <c r="G9" s="958"/>
      <c r="H9" s="959"/>
      <c r="I9" s="960" t="s">
        <v>170</v>
      </c>
      <c r="J9" s="961"/>
    </row>
    <row r="10" spans="1:16" ht="15.75" customHeight="1">
      <c r="A10" s="954"/>
      <c r="B10" s="954"/>
      <c r="C10" s="954"/>
      <c r="D10" s="956" t="s">
        <v>71</v>
      </c>
      <c r="E10" s="956" t="s">
        <v>72</v>
      </c>
      <c r="F10" s="956" t="s">
        <v>73</v>
      </c>
      <c r="G10" s="962" t="s">
        <v>46</v>
      </c>
      <c r="H10" s="963"/>
      <c r="I10" s="965" t="s">
        <v>74</v>
      </c>
      <c r="J10" s="956" t="s">
        <v>171</v>
      </c>
      <c r="K10" s="55"/>
      <c r="L10" s="55"/>
      <c r="M10" s="107"/>
      <c r="N10" s="107"/>
      <c r="O10" s="107"/>
      <c r="P10" s="107"/>
    </row>
    <row r="11" spans="1:16">
      <c r="A11" s="954"/>
      <c r="B11" s="954"/>
      <c r="C11" s="954"/>
      <c r="D11" s="954"/>
      <c r="E11" s="954"/>
      <c r="F11" s="954"/>
      <c r="G11" s="956" t="s">
        <v>75</v>
      </c>
      <c r="H11" s="956" t="s">
        <v>76</v>
      </c>
      <c r="I11" s="966"/>
      <c r="J11" s="967"/>
      <c r="K11" s="55"/>
      <c r="L11" s="55"/>
      <c r="M11" s="107"/>
      <c r="N11" s="107"/>
      <c r="O11" s="107"/>
      <c r="P11" s="107"/>
    </row>
    <row r="12" spans="1:16">
      <c r="A12" s="954"/>
      <c r="B12" s="954"/>
      <c r="C12" s="954"/>
      <c r="D12" s="954"/>
      <c r="E12" s="954"/>
      <c r="F12" s="954"/>
      <c r="G12" s="954"/>
      <c r="H12" s="954"/>
      <c r="I12" s="966"/>
      <c r="J12" s="967"/>
      <c r="K12" s="55"/>
      <c r="L12" s="55"/>
      <c r="M12" s="107"/>
      <c r="N12" s="107"/>
      <c r="O12" s="107"/>
      <c r="P12" s="107"/>
    </row>
    <row r="13" spans="1:16">
      <c r="A13" s="954"/>
      <c r="B13" s="954"/>
      <c r="C13" s="954"/>
      <c r="D13" s="954"/>
      <c r="E13" s="954"/>
      <c r="F13" s="954"/>
      <c r="G13" s="954"/>
      <c r="H13" s="954"/>
      <c r="I13" s="966"/>
      <c r="J13" s="967"/>
      <c r="K13" s="55"/>
      <c r="L13" s="55"/>
      <c r="M13" s="107"/>
      <c r="N13" s="107"/>
      <c r="O13" s="107"/>
      <c r="P13" s="107"/>
    </row>
    <row r="14" spans="1:16" ht="14.25" customHeight="1">
      <c r="A14" s="954"/>
      <c r="B14" s="954"/>
      <c r="C14" s="954"/>
      <c r="D14" s="954"/>
      <c r="E14" s="954"/>
      <c r="F14" s="954"/>
      <c r="G14" s="954"/>
      <c r="H14" s="954"/>
      <c r="I14" s="966"/>
      <c r="J14" s="967"/>
      <c r="K14" s="55"/>
      <c r="L14" s="55"/>
      <c r="M14" s="107"/>
      <c r="N14" s="107"/>
      <c r="O14" s="107"/>
      <c r="P14" s="107"/>
    </row>
    <row r="15" spans="1:16" hidden="1">
      <c r="A15" s="955"/>
      <c r="B15" s="955"/>
      <c r="C15" s="955"/>
      <c r="D15" s="955"/>
      <c r="E15" s="955"/>
      <c r="F15" s="955"/>
      <c r="G15" s="955"/>
      <c r="H15" s="955"/>
      <c r="I15" s="966"/>
      <c r="J15" s="968"/>
      <c r="K15" s="55"/>
      <c r="L15" s="55"/>
      <c r="M15" s="107"/>
      <c r="N15" s="107"/>
      <c r="O15" s="107"/>
      <c r="P15" s="107"/>
    </row>
    <row r="16" spans="1:16">
      <c r="A16" s="246" t="s">
        <v>16</v>
      </c>
      <c r="B16" s="247" t="s">
        <v>17</v>
      </c>
      <c r="C16" s="247" t="s">
        <v>77</v>
      </c>
      <c r="D16" s="247" t="s">
        <v>78</v>
      </c>
      <c r="E16" s="248">
        <v>2</v>
      </c>
      <c r="F16" s="247" t="s">
        <v>79</v>
      </c>
      <c r="G16" s="248">
        <v>4</v>
      </c>
      <c r="H16" s="248">
        <v>5</v>
      </c>
      <c r="I16" s="248">
        <v>6</v>
      </c>
      <c r="J16" s="249">
        <v>7</v>
      </c>
      <c r="K16" s="55"/>
      <c r="L16" s="55"/>
      <c r="M16" s="107"/>
      <c r="N16" s="107"/>
      <c r="O16" s="107"/>
      <c r="P16" s="107"/>
    </row>
    <row r="17" spans="1:17" s="258" customFormat="1" ht="15">
      <c r="A17" s="250"/>
      <c r="B17" s="251" t="s">
        <v>13</v>
      </c>
      <c r="C17" s="252"/>
      <c r="D17" s="253"/>
      <c r="E17" s="253"/>
      <c r="F17" s="253"/>
      <c r="G17" s="253"/>
      <c r="H17" s="253"/>
      <c r="I17" s="252"/>
      <c r="J17" s="252"/>
      <c r="K17" s="254"/>
      <c r="L17" s="255"/>
      <c r="M17" s="256"/>
      <c r="N17" s="256"/>
      <c r="O17" s="257"/>
      <c r="P17" s="257"/>
    </row>
    <row r="18" spans="1:17" s="258" customFormat="1">
      <c r="A18" s="250"/>
      <c r="B18" s="259"/>
      <c r="C18" s="252"/>
      <c r="D18" s="253"/>
      <c r="E18" s="253"/>
      <c r="F18" s="253"/>
      <c r="G18" s="253"/>
      <c r="H18" s="253"/>
      <c r="I18" s="252"/>
      <c r="J18" s="252"/>
      <c r="K18" s="260"/>
      <c r="L18" s="261"/>
      <c r="M18" s="262"/>
      <c r="N18" s="262"/>
      <c r="O18" s="257"/>
      <c r="P18" s="257"/>
    </row>
    <row r="19" spans="1:17" s="270" customFormat="1">
      <c r="A19" s="263"/>
      <c r="B19" s="264"/>
      <c r="C19" s="265"/>
      <c r="D19" s="266"/>
      <c r="E19" s="266"/>
      <c r="F19" s="266"/>
      <c r="G19" s="266"/>
      <c r="H19" s="266"/>
      <c r="I19" s="267"/>
      <c r="J19" s="268"/>
      <c r="K19" s="948"/>
      <c r="L19" s="949"/>
      <c r="M19" s="949"/>
      <c r="N19" s="269"/>
      <c r="O19" s="166"/>
      <c r="P19" s="166"/>
    </row>
    <row r="20" spans="1:17" s="277" customFormat="1">
      <c r="A20" s="271"/>
      <c r="B20" s="259"/>
      <c r="C20" s="272"/>
      <c r="D20" s="273"/>
      <c r="E20" s="273"/>
      <c r="F20" s="273"/>
      <c r="G20" s="273"/>
      <c r="H20" s="273"/>
      <c r="I20" s="272"/>
      <c r="J20" s="272"/>
      <c r="K20" s="274"/>
      <c r="L20" s="275"/>
      <c r="M20" s="275"/>
      <c r="N20" s="275"/>
      <c r="O20" s="276"/>
      <c r="P20" s="276"/>
    </row>
    <row r="21" spans="1:17" s="285" customFormat="1">
      <c r="A21" s="278"/>
      <c r="B21" s="279"/>
      <c r="C21" s="280"/>
      <c r="D21" s="266"/>
      <c r="E21" s="281"/>
      <c r="F21" s="266"/>
      <c r="G21" s="281"/>
      <c r="H21" s="281"/>
      <c r="I21" s="282"/>
      <c r="J21" s="282"/>
      <c r="K21" s="950"/>
      <c r="L21" s="951"/>
      <c r="M21" s="951"/>
      <c r="N21" s="283"/>
      <c r="O21" s="284"/>
      <c r="P21" s="284"/>
    </row>
    <row r="22" spans="1:17" s="292" customFormat="1">
      <c r="A22" s="286"/>
      <c r="B22" s="287"/>
      <c r="C22" s="288"/>
      <c r="D22" s="289"/>
      <c r="E22" s="289"/>
      <c r="F22" s="289"/>
      <c r="G22" s="289"/>
      <c r="H22" s="289"/>
      <c r="I22" s="290"/>
      <c r="J22" s="290"/>
      <c r="K22" s="969"/>
      <c r="L22" s="970"/>
      <c r="M22" s="970"/>
      <c r="N22" s="291"/>
      <c r="O22" s="291"/>
      <c r="P22" s="291"/>
    </row>
    <row r="23" spans="1:17" s="301" customFormat="1">
      <c r="A23" s="293"/>
      <c r="B23" s="294"/>
      <c r="C23" s="295"/>
      <c r="D23" s="296"/>
      <c r="E23" s="296"/>
      <c r="F23" s="296"/>
      <c r="G23" s="296"/>
      <c r="H23" s="296"/>
      <c r="I23" s="297"/>
      <c r="J23" s="297"/>
      <c r="K23" s="298"/>
      <c r="L23" s="299"/>
      <c r="M23" s="300"/>
      <c r="N23" s="300"/>
      <c r="O23" s="300"/>
      <c r="P23" s="300"/>
    </row>
    <row r="24" spans="1:17" s="292" customFormat="1">
      <c r="A24" s="286"/>
      <c r="B24" s="302"/>
      <c r="C24" s="288"/>
      <c r="D24" s="289"/>
      <c r="E24" s="289"/>
      <c r="F24" s="289"/>
      <c r="G24" s="289"/>
      <c r="H24" s="289"/>
      <c r="I24" s="290"/>
      <c r="J24" s="290"/>
      <c r="K24" s="969"/>
      <c r="L24" s="970"/>
      <c r="M24" s="970"/>
      <c r="N24" s="291"/>
      <c r="O24" s="291"/>
      <c r="P24" s="291"/>
    </row>
    <row r="25" spans="1:17">
      <c r="A25" s="303"/>
      <c r="B25" s="304"/>
      <c r="C25" s="14"/>
      <c r="D25" s="14"/>
      <c r="E25" s="14"/>
      <c r="F25" s="14"/>
      <c r="G25" s="14"/>
      <c r="H25" s="14"/>
      <c r="I25" s="13"/>
      <c r="J25" s="13"/>
      <c r="K25" s="971"/>
      <c r="L25" s="971"/>
      <c r="M25" s="971"/>
      <c r="N25" s="971"/>
      <c r="O25" s="971"/>
      <c r="P25" s="971"/>
      <c r="Q25" s="971"/>
    </row>
    <row r="27" spans="1:17">
      <c r="A27" s="305"/>
      <c r="B27" s="107"/>
      <c r="C27" s="107"/>
      <c r="D27" s="107"/>
      <c r="E27" s="107"/>
      <c r="F27" s="107"/>
      <c r="G27" s="107"/>
      <c r="H27" s="107"/>
      <c r="I27" s="107"/>
      <c r="J27" s="306"/>
    </row>
    <row r="28" spans="1:17" ht="18.75">
      <c r="A28" s="972"/>
      <c r="B28" s="973"/>
      <c r="C28" s="973"/>
      <c r="D28" s="973"/>
      <c r="E28" s="973"/>
      <c r="F28" s="973"/>
      <c r="G28" s="973"/>
      <c r="H28" s="973"/>
      <c r="I28" s="973"/>
      <c r="J28" s="973"/>
    </row>
    <row r="29" spans="1:17">
      <c r="A29" s="974"/>
      <c r="B29" s="964"/>
      <c r="C29" s="964"/>
      <c r="D29" s="964"/>
      <c r="E29" s="964"/>
      <c r="F29" s="964"/>
      <c r="G29" s="964"/>
      <c r="H29" s="964"/>
      <c r="I29" s="964"/>
      <c r="J29" s="964"/>
      <c r="L29" s="22" t="s">
        <v>80</v>
      </c>
    </row>
    <row r="30" spans="1:17">
      <c r="A30" s="964"/>
      <c r="B30" s="964"/>
      <c r="C30" s="964"/>
      <c r="D30" s="964"/>
      <c r="E30" s="964"/>
      <c r="F30" s="964"/>
      <c r="G30" s="964"/>
      <c r="H30" s="964"/>
      <c r="I30" s="964"/>
      <c r="J30" s="107"/>
    </row>
    <row r="31" spans="1:17">
      <c r="A31" s="307"/>
      <c r="B31" s="308"/>
      <c r="C31" s="308"/>
      <c r="D31" s="308"/>
      <c r="E31" s="308"/>
      <c r="F31" s="308"/>
      <c r="G31" s="308"/>
      <c r="H31" s="308"/>
      <c r="I31" s="308"/>
      <c r="J31" s="309"/>
    </row>
    <row r="32" spans="1:17">
      <c r="A32" s="975"/>
      <c r="B32" s="977"/>
      <c r="C32" s="977"/>
      <c r="D32" s="977"/>
      <c r="E32" s="976"/>
      <c r="F32" s="976"/>
      <c r="G32" s="976"/>
      <c r="H32" s="976"/>
      <c r="I32" s="310"/>
      <c r="J32" s="977"/>
    </row>
    <row r="33" spans="1:15">
      <c r="A33" s="976"/>
      <c r="B33" s="976"/>
      <c r="C33" s="976"/>
      <c r="D33" s="977"/>
      <c r="E33" s="977"/>
      <c r="F33" s="977"/>
      <c r="G33" s="980"/>
      <c r="H33" s="981"/>
      <c r="I33" s="977"/>
      <c r="J33" s="976"/>
    </row>
    <row r="34" spans="1:15">
      <c r="A34" s="976"/>
      <c r="B34" s="976"/>
      <c r="C34" s="976"/>
      <c r="D34" s="976"/>
      <c r="E34" s="976"/>
      <c r="F34" s="976"/>
      <c r="G34" s="977"/>
      <c r="H34" s="977"/>
      <c r="I34" s="976"/>
      <c r="J34" s="976"/>
    </row>
    <row r="35" spans="1:15">
      <c r="A35" s="976"/>
      <c r="B35" s="976"/>
      <c r="C35" s="976"/>
      <c r="D35" s="976"/>
      <c r="E35" s="976"/>
      <c r="F35" s="976"/>
      <c r="G35" s="976"/>
      <c r="H35" s="976"/>
      <c r="I35" s="976"/>
      <c r="J35" s="976"/>
    </row>
    <row r="36" spans="1:15">
      <c r="A36" s="976"/>
      <c r="B36" s="976"/>
      <c r="C36" s="976"/>
      <c r="D36" s="976"/>
      <c r="E36" s="976"/>
      <c r="F36" s="976"/>
      <c r="G36" s="976"/>
      <c r="H36" s="976"/>
      <c r="I36" s="976"/>
      <c r="J36" s="976"/>
    </row>
    <row r="37" spans="1:15">
      <c r="A37" s="976"/>
      <c r="B37" s="976"/>
      <c r="C37" s="976"/>
      <c r="D37" s="976"/>
      <c r="E37" s="976"/>
      <c r="F37" s="976"/>
      <c r="G37" s="976"/>
      <c r="H37" s="976"/>
      <c r="I37" s="976"/>
      <c r="J37" s="976"/>
    </row>
    <row r="38" spans="1:15">
      <c r="A38" s="976"/>
      <c r="B38" s="976"/>
      <c r="C38" s="976"/>
      <c r="D38" s="976"/>
      <c r="E38" s="976"/>
      <c r="F38" s="976"/>
      <c r="G38" s="976"/>
      <c r="H38" s="976"/>
      <c r="I38" s="976"/>
      <c r="J38" s="976"/>
    </row>
    <row r="39" spans="1:15">
      <c r="A39" s="311"/>
      <c r="B39" s="312"/>
      <c r="C39" s="312"/>
      <c r="D39" s="312"/>
      <c r="E39" s="310"/>
      <c r="F39" s="312"/>
      <c r="G39" s="310"/>
      <c r="H39" s="310"/>
      <c r="I39" s="310"/>
      <c r="J39" s="239"/>
    </row>
    <row r="40" spans="1:15">
      <c r="A40" s="313"/>
      <c r="B40" s="314"/>
      <c r="C40" s="315"/>
      <c r="D40" s="315"/>
      <c r="E40" s="315"/>
      <c r="F40" s="315"/>
      <c r="G40" s="315"/>
      <c r="H40" s="315"/>
      <c r="I40" s="315"/>
      <c r="J40" s="315"/>
    </row>
    <row r="41" spans="1:15">
      <c r="A41" s="316"/>
      <c r="B41" s="317"/>
      <c r="C41" s="318"/>
      <c r="D41" s="319"/>
      <c r="E41" s="319"/>
      <c r="F41" s="319"/>
      <c r="G41" s="319"/>
      <c r="H41" s="319"/>
      <c r="I41" s="320"/>
      <c r="J41" s="320"/>
    </row>
    <row r="42" spans="1:15">
      <c r="A42" s="321"/>
      <c r="B42" s="322"/>
      <c r="C42" s="323"/>
      <c r="D42" s="324"/>
      <c r="E42" s="325"/>
      <c r="F42" s="324"/>
      <c r="G42" s="326"/>
      <c r="H42" s="327"/>
      <c r="I42" s="328"/>
      <c r="J42" s="329"/>
    </row>
    <row r="43" spans="1:15">
      <c r="A43" s="330"/>
      <c r="B43" s="331"/>
      <c r="C43" s="332"/>
      <c r="D43" s="333"/>
      <c r="E43" s="319"/>
      <c r="F43" s="319"/>
      <c r="G43" s="319"/>
      <c r="H43" s="319"/>
      <c r="I43" s="333"/>
      <c r="J43" s="320"/>
    </row>
    <row r="44" spans="1:15">
      <c r="A44" s="321"/>
      <c r="B44" s="334"/>
      <c r="C44" s="323"/>
      <c r="D44" s="324"/>
      <c r="E44" s="326"/>
      <c r="F44" s="326"/>
      <c r="G44" s="326"/>
      <c r="H44" s="326"/>
      <c r="I44" s="328"/>
      <c r="J44" s="329"/>
      <c r="L44" s="335" t="s">
        <v>81</v>
      </c>
      <c r="M44" s="336"/>
      <c r="N44" s="336"/>
      <c r="O44" s="336"/>
    </row>
    <row r="45" spans="1:15">
      <c r="A45" s="330"/>
      <c r="B45" s="331"/>
      <c r="C45" s="318"/>
      <c r="D45" s="337"/>
      <c r="E45" s="337"/>
      <c r="F45" s="337"/>
      <c r="G45" s="337"/>
      <c r="H45" s="337"/>
      <c r="I45" s="337"/>
      <c r="J45" s="337"/>
    </row>
    <row r="46" spans="1:15">
      <c r="A46" s="338"/>
      <c r="B46" s="322"/>
      <c r="C46" s="323"/>
      <c r="D46" s="324"/>
      <c r="E46" s="324"/>
      <c r="F46" s="324"/>
      <c r="G46" s="326"/>
      <c r="H46" s="325"/>
      <c r="I46" s="328"/>
      <c r="J46" s="329"/>
    </row>
    <row r="47" spans="1:15">
      <c r="A47" s="321"/>
      <c r="B47" s="322"/>
      <c r="C47" s="323"/>
      <c r="D47" s="324"/>
      <c r="E47" s="325"/>
      <c r="F47" s="324"/>
      <c r="G47" s="325"/>
      <c r="H47" s="325"/>
      <c r="I47" s="328"/>
      <c r="J47" s="329"/>
    </row>
    <row r="48" spans="1:15">
      <c r="A48" s="305"/>
      <c r="B48" s="107"/>
      <c r="C48" s="107"/>
      <c r="D48" s="107"/>
      <c r="E48" s="107"/>
      <c r="F48" s="107"/>
      <c r="G48" s="107"/>
      <c r="H48" s="107"/>
      <c r="I48" s="107"/>
      <c r="J48" s="107"/>
    </row>
    <row r="49" spans="1:12">
      <c r="A49" s="305"/>
      <c r="B49" s="107"/>
      <c r="C49" s="107"/>
      <c r="D49" s="107"/>
      <c r="E49" s="107"/>
      <c r="F49" s="107"/>
      <c r="G49" s="107"/>
      <c r="H49" s="107"/>
      <c r="I49" s="107"/>
      <c r="J49" s="107"/>
    </row>
    <row r="50" spans="1:12" ht="15">
      <c r="A50" s="305"/>
      <c r="B50" s="107"/>
      <c r="C50" s="107"/>
      <c r="D50" s="107"/>
      <c r="E50" s="107"/>
      <c r="F50" s="107"/>
      <c r="G50" s="107"/>
      <c r="H50" s="107"/>
      <c r="I50" s="107"/>
      <c r="J50" s="107"/>
      <c r="K50" s="24"/>
      <c r="L50" s="24"/>
    </row>
    <row r="51" spans="1:12" ht="15">
      <c r="A51" s="305"/>
      <c r="B51" s="107"/>
      <c r="C51" s="107"/>
      <c r="D51" s="107"/>
      <c r="E51" s="107"/>
      <c r="F51" s="107"/>
      <c r="G51" s="107"/>
      <c r="H51" s="107"/>
      <c r="I51" s="107"/>
      <c r="J51" s="107"/>
      <c r="K51" s="24"/>
      <c r="L51" s="24"/>
    </row>
    <row r="52" spans="1:12" ht="15">
      <c r="A52" s="305"/>
      <c r="B52" s="107"/>
      <c r="C52" s="107"/>
      <c r="D52" s="107"/>
      <c r="E52" s="107"/>
      <c r="F52" s="107"/>
      <c r="G52" s="107"/>
      <c r="H52" s="107"/>
      <c r="I52" s="107"/>
      <c r="J52" s="107"/>
      <c r="K52" s="24"/>
      <c r="L52" s="24"/>
    </row>
    <row r="53" spans="1:12" ht="15">
      <c r="A53" s="305"/>
      <c r="B53" s="107"/>
      <c r="C53" s="107"/>
      <c r="D53" s="107"/>
      <c r="E53" s="107"/>
      <c r="F53" s="107"/>
      <c r="G53" s="107"/>
      <c r="H53" s="107"/>
      <c r="I53" s="107"/>
      <c r="J53" s="107"/>
      <c r="K53" s="24"/>
      <c r="L53" s="24"/>
    </row>
    <row r="54" spans="1:12" ht="15">
      <c r="A54" s="305"/>
      <c r="B54" s="107"/>
      <c r="C54" s="107"/>
      <c r="D54" s="107"/>
      <c r="E54" s="107"/>
      <c r="F54" s="107"/>
      <c r="G54" s="107"/>
      <c r="H54" s="107"/>
      <c r="I54" s="107"/>
      <c r="J54" s="107"/>
      <c r="K54" s="24"/>
      <c r="L54" s="24"/>
    </row>
    <row r="55" spans="1:12">
      <c r="A55" s="305"/>
      <c r="B55" s="339"/>
      <c r="C55" s="107"/>
      <c r="D55" s="107"/>
      <c r="E55" s="107"/>
      <c r="F55" s="107"/>
      <c r="G55" s="107"/>
      <c r="H55" s="107"/>
      <c r="I55" s="107"/>
      <c r="J55" s="107"/>
      <c r="K55" s="24"/>
      <c r="L55" s="24"/>
    </row>
    <row r="56" spans="1:12">
      <c r="A56" s="305"/>
      <c r="B56" s="339"/>
      <c r="C56" s="107"/>
      <c r="D56" s="107"/>
      <c r="E56" s="107"/>
      <c r="F56" s="107"/>
      <c r="G56" s="107"/>
      <c r="H56" s="107"/>
      <c r="I56" s="107"/>
      <c r="J56" s="236"/>
      <c r="K56" s="24"/>
      <c r="L56" s="24"/>
    </row>
    <row r="57" spans="1:12">
      <c r="A57" s="305"/>
      <c r="B57" s="339"/>
      <c r="C57" s="107"/>
      <c r="D57" s="107"/>
      <c r="E57" s="107"/>
      <c r="F57" s="107"/>
      <c r="G57" s="107"/>
      <c r="H57" s="107"/>
      <c r="I57" s="340"/>
      <c r="J57" s="237"/>
      <c r="K57" s="24"/>
      <c r="L57" s="24"/>
    </row>
    <row r="58" spans="1:12">
      <c r="A58" s="305"/>
      <c r="B58" s="339"/>
      <c r="C58" s="107"/>
      <c r="D58" s="107"/>
      <c r="E58" s="107"/>
      <c r="F58" s="107"/>
      <c r="G58" s="107"/>
      <c r="H58" s="107"/>
      <c r="I58" s="107"/>
      <c r="J58" s="107"/>
      <c r="K58" s="24"/>
      <c r="L58" s="24"/>
    </row>
    <row r="59" spans="1:12">
      <c r="A59" s="305"/>
      <c r="B59" s="339"/>
      <c r="C59" s="107"/>
      <c r="D59" s="107"/>
      <c r="E59" s="284"/>
      <c r="F59" s="276"/>
      <c r="G59" s="276"/>
      <c r="H59" s="107"/>
      <c r="I59" s="107"/>
      <c r="J59" s="107"/>
      <c r="K59" s="24"/>
      <c r="L59" s="24"/>
    </row>
    <row r="60" spans="1:12" ht="15">
      <c r="A60" s="305"/>
      <c r="B60" s="107"/>
      <c r="C60" s="107"/>
      <c r="D60" s="107"/>
      <c r="E60" s="107"/>
      <c r="F60" s="107"/>
      <c r="G60" s="107"/>
      <c r="H60" s="107"/>
      <c r="I60" s="107"/>
      <c r="J60" s="107"/>
      <c r="K60" s="24"/>
      <c r="L60" s="24"/>
    </row>
    <row r="61" spans="1:12" ht="15">
      <c r="A61" s="305"/>
      <c r="B61" s="107"/>
      <c r="C61" s="107"/>
      <c r="D61" s="107"/>
      <c r="E61" s="107"/>
      <c r="F61" s="107"/>
      <c r="G61" s="107"/>
      <c r="H61" s="107"/>
      <c r="I61" s="107"/>
      <c r="J61" s="107"/>
      <c r="K61" s="24"/>
      <c r="L61" s="24"/>
    </row>
    <row r="62" spans="1:12" ht="15">
      <c r="A62" s="305"/>
      <c r="B62" s="107"/>
      <c r="C62" s="107"/>
      <c r="D62" s="107"/>
      <c r="E62" s="107"/>
      <c r="F62" s="107"/>
      <c r="G62" s="107"/>
      <c r="H62" s="107"/>
      <c r="I62" s="107"/>
      <c r="J62" s="107"/>
      <c r="K62" s="24"/>
      <c r="L62" s="24"/>
    </row>
    <row r="63" spans="1:12" ht="15">
      <c r="A63" s="305"/>
      <c r="B63" s="107"/>
      <c r="C63" s="107"/>
      <c r="D63" s="107"/>
      <c r="E63" s="107"/>
      <c r="F63" s="107"/>
      <c r="G63" s="107"/>
      <c r="H63" s="107"/>
      <c r="I63" s="107"/>
      <c r="J63" s="107"/>
      <c r="K63" s="24"/>
      <c r="L63" s="24"/>
    </row>
    <row r="64" spans="1:12" ht="15">
      <c r="A64" s="305"/>
      <c r="B64" s="107"/>
      <c r="C64" s="107"/>
      <c r="D64" s="107"/>
      <c r="E64" s="107"/>
      <c r="F64" s="107"/>
      <c r="G64" s="107"/>
      <c r="H64" s="107"/>
      <c r="I64" s="107"/>
      <c r="J64" s="306"/>
      <c r="K64" s="24"/>
      <c r="L64" s="24"/>
    </row>
    <row r="65" spans="1:12" ht="15">
      <c r="A65" s="305"/>
      <c r="B65" s="107"/>
      <c r="C65" s="107"/>
      <c r="D65" s="107"/>
      <c r="E65" s="107"/>
      <c r="F65" s="107"/>
      <c r="G65" s="107"/>
      <c r="H65" s="107"/>
      <c r="I65" s="107"/>
      <c r="J65" s="107"/>
      <c r="K65" s="24"/>
      <c r="L65" s="24"/>
    </row>
    <row r="66" spans="1:12" ht="18.75">
      <c r="A66" s="978"/>
      <c r="B66" s="973"/>
      <c r="C66" s="973"/>
      <c r="D66" s="973"/>
      <c r="E66" s="973"/>
      <c r="F66" s="973"/>
      <c r="G66" s="973"/>
      <c r="H66" s="973"/>
      <c r="I66" s="973"/>
      <c r="J66" s="973"/>
    </row>
    <row r="67" spans="1:12">
      <c r="A67" s="979"/>
      <c r="B67" s="964"/>
      <c r="C67" s="964"/>
      <c r="D67" s="964"/>
      <c r="E67" s="964"/>
      <c r="F67" s="964"/>
      <c r="G67" s="964"/>
      <c r="H67" s="964"/>
      <c r="I67" s="964"/>
      <c r="J67" s="964"/>
    </row>
    <row r="68" spans="1:12">
      <c r="A68" s="964"/>
      <c r="B68" s="964"/>
      <c r="C68" s="964"/>
      <c r="D68" s="964"/>
      <c r="E68" s="964"/>
      <c r="F68" s="964"/>
      <c r="G68" s="964"/>
      <c r="H68" s="964"/>
      <c r="I68" s="964"/>
      <c r="J68" s="107"/>
    </row>
    <row r="69" spans="1:12">
      <c r="A69" s="307"/>
      <c r="B69" s="308"/>
      <c r="C69" s="308"/>
      <c r="D69" s="308"/>
      <c r="E69" s="308"/>
      <c r="F69" s="308"/>
      <c r="G69" s="308"/>
      <c r="H69" s="308"/>
      <c r="I69" s="308"/>
      <c r="J69" s="309"/>
    </row>
    <row r="70" spans="1:12">
      <c r="A70" s="975"/>
      <c r="B70" s="977"/>
      <c r="C70" s="977"/>
      <c r="D70" s="977"/>
      <c r="E70" s="976"/>
      <c r="F70" s="976"/>
      <c r="G70" s="976"/>
      <c r="H70" s="976"/>
      <c r="I70" s="310"/>
      <c r="J70" s="977"/>
    </row>
    <row r="71" spans="1:12">
      <c r="A71" s="976"/>
      <c r="B71" s="976"/>
      <c r="C71" s="976"/>
      <c r="D71" s="977"/>
      <c r="E71" s="977"/>
      <c r="F71" s="977"/>
      <c r="G71" s="980"/>
      <c r="H71" s="981"/>
      <c r="I71" s="977"/>
      <c r="J71" s="976"/>
    </row>
    <row r="72" spans="1:12">
      <c r="A72" s="976"/>
      <c r="B72" s="976"/>
      <c r="C72" s="976"/>
      <c r="D72" s="976"/>
      <c r="E72" s="976"/>
      <c r="F72" s="976"/>
      <c r="G72" s="977"/>
      <c r="H72" s="977"/>
      <c r="I72" s="976"/>
      <c r="J72" s="976"/>
    </row>
    <row r="73" spans="1:12">
      <c r="A73" s="976"/>
      <c r="B73" s="976"/>
      <c r="C73" s="976"/>
      <c r="D73" s="976"/>
      <c r="E73" s="976"/>
      <c r="F73" s="976"/>
      <c r="G73" s="976"/>
      <c r="H73" s="976"/>
      <c r="I73" s="976"/>
      <c r="J73" s="976"/>
    </row>
    <row r="74" spans="1:12">
      <c r="A74" s="976"/>
      <c r="B74" s="976"/>
      <c r="C74" s="976"/>
      <c r="D74" s="976"/>
      <c r="E74" s="976"/>
      <c r="F74" s="976"/>
      <c r="G74" s="976"/>
      <c r="H74" s="976"/>
      <c r="I74" s="976"/>
      <c r="J74" s="976"/>
    </row>
    <row r="75" spans="1:12">
      <c r="A75" s="976"/>
      <c r="B75" s="976"/>
      <c r="C75" s="976"/>
      <c r="D75" s="976"/>
      <c r="E75" s="976"/>
      <c r="F75" s="976"/>
      <c r="G75" s="976"/>
      <c r="H75" s="976"/>
      <c r="I75" s="976"/>
      <c r="J75" s="976"/>
    </row>
    <row r="76" spans="1:12">
      <c r="A76" s="976"/>
      <c r="B76" s="976"/>
      <c r="C76" s="976"/>
      <c r="D76" s="976"/>
      <c r="E76" s="976"/>
      <c r="F76" s="976"/>
      <c r="G76" s="976"/>
      <c r="H76" s="976"/>
      <c r="I76" s="976"/>
      <c r="J76" s="976"/>
    </row>
    <row r="77" spans="1:12">
      <c r="A77" s="311"/>
      <c r="B77" s="312"/>
      <c r="C77" s="312"/>
      <c r="D77" s="312"/>
      <c r="E77" s="310"/>
      <c r="F77" s="312"/>
      <c r="G77" s="310"/>
      <c r="H77" s="310"/>
      <c r="I77" s="310"/>
      <c r="J77" s="239"/>
    </row>
    <row r="78" spans="1:12" s="7" customFormat="1">
      <c r="A78" s="341"/>
      <c r="B78" s="342"/>
      <c r="C78" s="343"/>
      <c r="D78" s="343"/>
      <c r="E78" s="343"/>
      <c r="F78" s="343"/>
      <c r="G78" s="343"/>
      <c r="H78" s="343"/>
      <c r="I78" s="343"/>
      <c r="J78" s="343"/>
      <c r="K78" s="26"/>
      <c r="L78" s="26"/>
    </row>
    <row r="79" spans="1:12">
      <c r="A79" s="330"/>
      <c r="B79" s="331"/>
      <c r="C79" s="318"/>
      <c r="D79" s="344"/>
      <c r="E79" s="344"/>
      <c r="F79" s="344"/>
      <c r="G79" s="344"/>
      <c r="H79" s="344"/>
      <c r="I79" s="337"/>
      <c r="J79" s="337"/>
    </row>
    <row r="80" spans="1:12">
      <c r="A80" s="321"/>
      <c r="B80" s="322"/>
      <c r="C80" s="323"/>
      <c r="D80" s="324"/>
      <c r="E80" s="324"/>
      <c r="F80" s="324"/>
      <c r="G80" s="324"/>
      <c r="H80" s="325"/>
      <c r="I80" s="328"/>
      <c r="J80" s="328"/>
    </row>
    <row r="81" spans="1:19">
      <c r="A81" s="330"/>
      <c r="B81" s="345"/>
      <c r="C81" s="318"/>
      <c r="D81" s="319"/>
      <c r="E81" s="319"/>
      <c r="F81" s="319"/>
      <c r="G81" s="319"/>
      <c r="H81" s="319"/>
      <c r="I81" s="320"/>
      <c r="J81" s="320"/>
    </row>
    <row r="82" spans="1:19">
      <c r="A82" s="321"/>
      <c r="B82" s="322"/>
      <c r="C82" s="323"/>
      <c r="D82" s="324"/>
      <c r="E82" s="324"/>
      <c r="F82" s="324"/>
      <c r="G82" s="324"/>
      <c r="H82" s="325"/>
      <c r="I82" s="328"/>
      <c r="J82" s="328"/>
    </row>
    <row r="83" spans="1:19">
      <c r="A83" s="330"/>
      <c r="B83" s="331"/>
      <c r="C83" s="318"/>
      <c r="D83" s="344"/>
      <c r="E83" s="344"/>
      <c r="F83" s="344"/>
      <c r="G83" s="344"/>
      <c r="H83" s="344"/>
      <c r="I83" s="337"/>
      <c r="J83" s="337"/>
    </row>
    <row r="84" spans="1:19">
      <c r="A84" s="321"/>
      <c r="B84" s="322"/>
      <c r="C84" s="323"/>
      <c r="D84" s="324"/>
      <c r="E84" s="324"/>
      <c r="F84" s="324"/>
      <c r="G84" s="324"/>
      <c r="H84" s="325"/>
      <c r="I84" s="328"/>
      <c r="J84" s="328"/>
      <c r="L84" s="982" t="s">
        <v>82</v>
      </c>
      <c r="M84" s="971"/>
      <c r="N84" s="971"/>
      <c r="O84" s="971"/>
      <c r="P84" s="971"/>
      <c r="Q84" s="971"/>
      <c r="R84" s="971"/>
      <c r="S84" s="971"/>
    </row>
    <row r="85" spans="1:19">
      <c r="A85" s="330"/>
      <c r="B85" s="345"/>
      <c r="C85" s="318"/>
      <c r="D85" s="319"/>
      <c r="E85" s="319"/>
      <c r="F85" s="319"/>
      <c r="G85" s="319"/>
      <c r="H85" s="319"/>
      <c r="I85" s="320"/>
      <c r="J85" s="320"/>
    </row>
    <row r="86" spans="1:19">
      <c r="A86" s="321"/>
      <c r="B86" s="322"/>
      <c r="C86" s="323"/>
      <c r="D86" s="324"/>
      <c r="E86" s="324"/>
      <c r="F86" s="324"/>
      <c r="G86" s="324"/>
      <c r="H86" s="325"/>
      <c r="I86" s="328"/>
      <c r="J86" s="328"/>
      <c r="L86" s="23" t="s">
        <v>83</v>
      </c>
    </row>
    <row r="87" spans="1:19">
      <c r="A87" s="305"/>
      <c r="B87" s="107"/>
      <c r="C87" s="107"/>
      <c r="D87" s="107"/>
      <c r="E87" s="107"/>
      <c r="F87" s="107"/>
      <c r="G87" s="107"/>
      <c r="H87" s="107"/>
      <c r="I87" s="107"/>
      <c r="J87" s="107"/>
    </row>
    <row r="88" spans="1:19">
      <c r="A88" s="305"/>
      <c r="B88" s="107"/>
      <c r="C88" s="107"/>
      <c r="D88" s="107"/>
      <c r="E88" s="107"/>
      <c r="F88" s="107"/>
      <c r="G88" s="107"/>
      <c r="H88" s="107"/>
      <c r="I88" s="107"/>
      <c r="J88" s="107"/>
    </row>
    <row r="89" spans="1:19">
      <c r="A89" s="305"/>
      <c r="B89" s="107"/>
      <c r="C89" s="107"/>
      <c r="D89" s="107"/>
      <c r="E89" s="107"/>
      <c r="F89" s="107"/>
      <c r="G89" s="107"/>
      <c r="H89" s="107"/>
      <c r="I89" s="107"/>
      <c r="J89" s="107"/>
    </row>
    <row r="90" spans="1:19">
      <c r="A90" s="305"/>
      <c r="B90" s="107"/>
      <c r="C90" s="107"/>
      <c r="D90" s="107"/>
      <c r="E90" s="107"/>
      <c r="F90" s="107"/>
      <c r="G90" s="107"/>
      <c r="H90" s="107"/>
      <c r="I90" s="107"/>
      <c r="J90" s="107"/>
    </row>
    <row r="91" spans="1:19">
      <c r="A91" s="305"/>
      <c r="B91" s="107"/>
      <c r="C91" s="107"/>
      <c r="D91" s="107"/>
      <c r="E91" s="107"/>
      <c r="F91" s="107"/>
      <c r="G91" s="107"/>
      <c r="H91" s="107"/>
      <c r="I91" s="107"/>
      <c r="J91" s="107"/>
    </row>
    <row r="92" spans="1:19">
      <c r="A92" s="305"/>
      <c r="B92" s="107"/>
      <c r="C92" s="107"/>
      <c r="D92" s="107"/>
      <c r="E92" s="107"/>
      <c r="F92" s="107"/>
      <c r="G92" s="107"/>
      <c r="H92" s="107"/>
      <c r="I92" s="107"/>
      <c r="J92" s="107"/>
    </row>
    <row r="93" spans="1:19">
      <c r="A93" s="305"/>
      <c r="B93" s="107"/>
      <c r="C93" s="107"/>
      <c r="D93" s="107"/>
      <c r="E93" s="107"/>
      <c r="F93" s="107"/>
      <c r="G93" s="107"/>
      <c r="H93" s="107"/>
      <c r="I93" s="107"/>
      <c r="J93" s="107"/>
    </row>
    <row r="94" spans="1:19">
      <c r="A94" s="305"/>
      <c r="B94" s="107"/>
      <c r="C94" s="107"/>
      <c r="D94" s="107"/>
      <c r="E94" s="107"/>
      <c r="F94" s="107"/>
      <c r="G94" s="107"/>
      <c r="H94" s="107"/>
      <c r="I94" s="107"/>
      <c r="J94" s="107"/>
    </row>
    <row r="95" spans="1:19">
      <c r="A95" s="305"/>
      <c r="B95" s="107"/>
      <c r="C95" s="107"/>
      <c r="D95" s="107"/>
      <c r="E95" s="107"/>
      <c r="F95" s="107"/>
      <c r="G95" s="107"/>
      <c r="H95" s="107"/>
      <c r="I95" s="107"/>
      <c r="J95" s="107"/>
    </row>
    <row r="96" spans="1:19">
      <c r="A96" s="305"/>
      <c r="B96" s="107"/>
      <c r="C96" s="107"/>
      <c r="D96" s="107"/>
      <c r="E96" s="107"/>
      <c r="F96" s="107"/>
      <c r="G96" s="107"/>
      <c r="H96" s="107"/>
      <c r="I96" s="107"/>
      <c r="J96" s="107"/>
    </row>
    <row r="97" spans="1:10">
      <c r="A97" s="305"/>
      <c r="B97" s="107"/>
      <c r="C97" s="107"/>
      <c r="D97" s="107"/>
      <c r="E97" s="107"/>
      <c r="F97" s="107"/>
      <c r="G97" s="107"/>
      <c r="H97" s="107"/>
      <c r="I97" s="107"/>
      <c r="J97" s="107"/>
    </row>
  </sheetData>
  <mergeCells count="56">
    <mergeCell ref="L84:S84"/>
    <mergeCell ref="D71:D76"/>
    <mergeCell ref="E71:E76"/>
    <mergeCell ref="F71:F76"/>
    <mergeCell ref="G71:H71"/>
    <mergeCell ref="I71:I76"/>
    <mergeCell ref="G72:G76"/>
    <mergeCell ref="H72:H76"/>
    <mergeCell ref="G34:G38"/>
    <mergeCell ref="H34:H38"/>
    <mergeCell ref="A66:J66"/>
    <mergeCell ref="A67:J67"/>
    <mergeCell ref="A68:I68"/>
    <mergeCell ref="A32:A38"/>
    <mergeCell ref="B32:B38"/>
    <mergeCell ref="C32:C38"/>
    <mergeCell ref="D32:H32"/>
    <mergeCell ref="J32:J38"/>
    <mergeCell ref="D33:D38"/>
    <mergeCell ref="E33:E38"/>
    <mergeCell ref="F33:F38"/>
    <mergeCell ref="G33:H33"/>
    <mergeCell ref="I33:I38"/>
    <mergeCell ref="A70:A76"/>
    <mergeCell ref="B70:B76"/>
    <mergeCell ref="C70:C76"/>
    <mergeCell ref="D70:H70"/>
    <mergeCell ref="J70:J76"/>
    <mergeCell ref="K22:M22"/>
    <mergeCell ref="K24:M24"/>
    <mergeCell ref="K25:Q25"/>
    <mergeCell ref="A28:J28"/>
    <mergeCell ref="A29:J29"/>
    <mergeCell ref="A30:I30"/>
    <mergeCell ref="I10:I15"/>
    <mergeCell ref="G11:G15"/>
    <mergeCell ref="H11:H15"/>
    <mergeCell ref="J10:J15"/>
    <mergeCell ref="K19:M19"/>
    <mergeCell ref="K21:M21"/>
    <mergeCell ref="I8:J8"/>
    <mergeCell ref="A9:A15"/>
    <mergeCell ref="B9:B15"/>
    <mergeCell ref="C9:C15"/>
    <mergeCell ref="D9:H9"/>
    <mergeCell ref="I9:J9"/>
    <mergeCell ref="D10:D15"/>
    <mergeCell ref="E10:E15"/>
    <mergeCell ref="F10:F15"/>
    <mergeCell ref="G10:H10"/>
    <mergeCell ref="A6:J6"/>
    <mergeCell ref="A1:B1"/>
    <mergeCell ref="I1:J1"/>
    <mergeCell ref="A2:B2"/>
    <mergeCell ref="A4:J4"/>
    <mergeCell ref="A5:J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A3" sqref="A3:G3"/>
    </sheetView>
  </sheetViews>
  <sheetFormatPr defaultColWidth="9" defaultRowHeight="15.75"/>
  <cols>
    <col min="1" max="1" width="4.77734375" style="22" customWidth="1"/>
    <col min="2" max="2" width="19.21875" style="22" customWidth="1"/>
    <col min="3" max="3" width="17.5546875" style="22" customWidth="1"/>
    <col min="4" max="4" width="17" style="347" customWidth="1"/>
    <col min="5" max="5" width="17.77734375" style="22" customWidth="1"/>
    <col min="6" max="6" width="14.5546875" style="22" customWidth="1"/>
    <col min="7" max="7" width="12.109375" style="22" customWidth="1"/>
    <col min="8" max="8" width="9" style="22"/>
    <col min="9" max="9" width="19.77734375" style="22" customWidth="1"/>
    <col min="10" max="16384" width="9" style="22"/>
  </cols>
  <sheetData>
    <row r="1" spans="1:10">
      <c r="A1" s="983" t="s">
        <v>49</v>
      </c>
      <c r="B1" s="983"/>
      <c r="C1" s="514"/>
      <c r="F1" s="845" t="s">
        <v>94</v>
      </c>
      <c r="G1" s="845"/>
    </row>
    <row r="2" spans="1:10" ht="15.75" customHeight="1">
      <c r="A2" s="984" t="s">
        <v>38</v>
      </c>
      <c r="B2" s="984"/>
      <c r="C2" s="515"/>
      <c r="D2" s="22"/>
    </row>
    <row r="3" spans="1:10" ht="35.25" customHeight="1">
      <c r="A3" s="988" t="s">
        <v>181</v>
      </c>
      <c r="B3" s="988"/>
      <c r="C3" s="988"/>
      <c r="D3" s="988"/>
      <c r="E3" s="988"/>
      <c r="F3" s="988"/>
      <c r="G3" s="988"/>
      <c r="H3" s="438"/>
    </row>
    <row r="4" spans="1:10">
      <c r="A4" s="989" t="s">
        <v>84</v>
      </c>
      <c r="B4" s="989"/>
      <c r="C4" s="989"/>
      <c r="D4" s="989"/>
      <c r="E4" s="989"/>
      <c r="F4" s="989"/>
      <c r="G4" s="989"/>
      <c r="H4" s="439"/>
    </row>
    <row r="5" spans="1:10" ht="18.75" customHeight="1">
      <c r="A5" s="845" t="s">
        <v>160</v>
      </c>
      <c r="B5" s="845"/>
      <c r="C5" s="845"/>
      <c r="D5" s="845"/>
      <c r="E5" s="845"/>
      <c r="F5" s="845"/>
      <c r="G5" s="845"/>
      <c r="H5" s="47"/>
    </row>
    <row r="6" spans="1:10">
      <c r="B6" s="26"/>
      <c r="C6" s="26"/>
      <c r="D6" s="22"/>
      <c r="E6" s="930" t="s">
        <v>85</v>
      </c>
      <c r="F6" s="930"/>
      <c r="G6" s="930"/>
    </row>
    <row r="7" spans="1:10" s="18" customFormat="1" ht="18" customHeight="1">
      <c r="A7" s="985" t="s">
        <v>12</v>
      </c>
      <c r="B7" s="985" t="s">
        <v>50</v>
      </c>
      <c r="C7" s="990" t="s">
        <v>191</v>
      </c>
      <c r="D7" s="993" t="s">
        <v>87</v>
      </c>
      <c r="E7" s="994"/>
      <c r="F7" s="994"/>
      <c r="G7" s="995"/>
    </row>
    <row r="8" spans="1:10" s="18" customFormat="1" ht="15.75" customHeight="1">
      <c r="A8" s="986"/>
      <c r="B8" s="986"/>
      <c r="C8" s="991"/>
      <c r="D8" s="990" t="s">
        <v>172</v>
      </c>
      <c r="E8" s="990" t="s">
        <v>89</v>
      </c>
      <c r="F8" s="990" t="s">
        <v>90</v>
      </c>
      <c r="G8" s="990" t="s">
        <v>173</v>
      </c>
    </row>
    <row r="9" spans="1:10" s="18" customFormat="1" ht="43.5" customHeight="1">
      <c r="A9" s="987"/>
      <c r="B9" s="987"/>
      <c r="C9" s="992"/>
      <c r="D9" s="992"/>
      <c r="E9" s="992"/>
      <c r="F9" s="992"/>
      <c r="G9" s="992"/>
    </row>
    <row r="10" spans="1:10" s="352" customFormat="1" ht="22.5" customHeight="1">
      <c r="A10" s="351" t="s">
        <v>16</v>
      </c>
      <c r="B10" s="351" t="s">
        <v>17</v>
      </c>
      <c r="C10" s="351" t="s">
        <v>77</v>
      </c>
      <c r="D10" s="351" t="s">
        <v>116</v>
      </c>
      <c r="E10" s="351">
        <v>2</v>
      </c>
      <c r="F10" s="351" t="s">
        <v>117</v>
      </c>
      <c r="G10" s="351">
        <v>4</v>
      </c>
    </row>
    <row r="11" spans="1:10" s="356" customFormat="1" ht="24.95" customHeight="1">
      <c r="A11" s="353"/>
      <c r="B11" s="353" t="s">
        <v>13</v>
      </c>
      <c r="C11" s="353"/>
      <c r="D11" s="354"/>
      <c r="E11" s="355"/>
      <c r="F11" s="354"/>
      <c r="G11" s="354"/>
      <c r="I11" s="357"/>
    </row>
    <row r="12" spans="1:10" s="356" customFormat="1" ht="24.95" customHeight="1">
      <c r="A12" s="358"/>
      <c r="B12" s="358"/>
      <c r="C12" s="358"/>
      <c r="D12" s="359"/>
      <c r="E12" s="360"/>
      <c r="F12" s="359"/>
      <c r="G12" s="359"/>
      <c r="I12" s="361"/>
    </row>
    <row r="13" spans="1:10" s="365" customFormat="1" ht="24.95" customHeight="1">
      <c r="A13" s="362"/>
      <c r="B13" s="362"/>
      <c r="C13" s="362"/>
      <c r="D13" s="363"/>
      <c r="E13" s="364"/>
      <c r="F13" s="363"/>
      <c r="G13" s="363"/>
    </row>
    <row r="14" spans="1:10" s="369" customFormat="1" ht="24.95" customHeight="1">
      <c r="A14" s="366"/>
      <c r="B14" s="367"/>
      <c r="C14" s="367"/>
      <c r="D14" s="359"/>
      <c r="E14" s="360"/>
      <c r="F14" s="360"/>
      <c r="G14" s="368"/>
      <c r="H14" s="950"/>
      <c r="I14" s="951"/>
      <c r="J14" s="951"/>
    </row>
    <row r="15" spans="1:10" s="369" customFormat="1" ht="24.95" customHeight="1">
      <c r="A15" s="370"/>
      <c r="B15" s="371"/>
      <c r="C15" s="371"/>
      <c r="D15" s="359"/>
      <c r="E15" s="360"/>
      <c r="F15" s="359"/>
      <c r="G15" s="372"/>
    </row>
    <row r="16" spans="1:10" s="380" customFormat="1" ht="24.95" customHeight="1">
      <c r="A16" s="373"/>
      <c r="B16" s="374"/>
      <c r="C16" s="374"/>
      <c r="D16" s="375"/>
      <c r="E16" s="378"/>
      <c r="F16" s="377"/>
      <c r="G16" s="379"/>
      <c r="H16" s="950"/>
      <c r="I16" s="951"/>
      <c r="J16" s="951"/>
    </row>
    <row r="17" spans="1:10" s="380" customFormat="1" ht="24.95" customHeight="1">
      <c r="A17" s="381"/>
      <c r="B17" s="374"/>
      <c r="C17" s="374"/>
      <c r="D17" s="375"/>
      <c r="E17" s="377"/>
      <c r="F17" s="377"/>
      <c r="G17" s="379"/>
      <c r="H17" s="950"/>
      <c r="I17" s="951"/>
      <c r="J17" s="951"/>
    </row>
    <row r="18" spans="1:10" s="356" customFormat="1" ht="24.95" customHeight="1">
      <c r="A18" s="383"/>
      <c r="B18" s="384"/>
      <c r="C18" s="384"/>
      <c r="D18" s="359"/>
      <c r="E18" s="360"/>
      <c r="F18" s="360"/>
      <c r="G18" s="372"/>
    </row>
    <row r="19" spans="1:10" s="380" customFormat="1" ht="24.95" customHeight="1">
      <c r="A19" s="370"/>
      <c r="B19" s="367"/>
      <c r="C19" s="367"/>
      <c r="D19" s="359"/>
      <c r="E19" s="386"/>
      <c r="F19" s="386"/>
      <c r="G19" s="387"/>
      <c r="H19" s="950"/>
      <c r="I19" s="951"/>
      <c r="J19" s="951"/>
    </row>
    <row r="20" spans="1:10" s="380" customFormat="1" ht="24.95" customHeight="1">
      <c r="A20" s="388"/>
      <c r="B20" s="384"/>
      <c r="C20" s="384"/>
      <c r="D20" s="389"/>
      <c r="E20" s="390"/>
      <c r="F20" s="389"/>
      <c r="G20" s="389"/>
    </row>
    <row r="21" spans="1:10" s="395" customFormat="1" ht="24.95" customHeight="1">
      <c r="A21" s="391"/>
      <c r="B21" s="392"/>
      <c r="C21" s="392"/>
      <c r="D21" s="393"/>
      <c r="E21" s="394"/>
      <c r="F21" s="394"/>
      <c r="G21" s="393"/>
    </row>
    <row r="22" spans="1:10" ht="24.95" customHeight="1">
      <c r="A22" s="396"/>
      <c r="B22" s="397"/>
      <c r="C22" s="397"/>
      <c r="D22" s="398"/>
      <c r="E22" s="400"/>
      <c r="F22" s="400"/>
      <c r="G22" s="401"/>
      <c r="H22" s="950"/>
      <c r="I22" s="951"/>
      <c r="J22" s="951"/>
    </row>
    <row r="23" spans="1:10">
      <c r="A23" s="402"/>
      <c r="B23" s="402"/>
      <c r="C23" s="402"/>
      <c r="D23" s="403"/>
      <c r="E23" s="403"/>
      <c r="F23" s="403"/>
      <c r="G23" s="403"/>
    </row>
    <row r="24" spans="1:10">
      <c r="A24" s="55"/>
      <c r="B24" s="55"/>
      <c r="C24" s="55"/>
      <c r="D24" s="404"/>
      <c r="E24" s="404"/>
      <c r="F24" s="404"/>
      <c r="G24" s="404"/>
    </row>
    <row r="25" spans="1:10">
      <c r="A25" s="55"/>
      <c r="B25" s="55"/>
      <c r="C25" s="55"/>
      <c r="D25" s="405"/>
      <c r="E25" s="405"/>
      <c r="F25" s="405"/>
      <c r="G25" s="405"/>
    </row>
    <row r="26" spans="1:10">
      <c r="A26" s="55"/>
      <c r="B26" s="68"/>
      <c r="C26" s="68"/>
      <c r="D26" s="55"/>
      <c r="E26" s="68"/>
      <c r="F26" s="405"/>
      <c r="G26" s="405"/>
    </row>
    <row r="27" spans="1:10">
      <c r="A27" s="406"/>
      <c r="B27" s="406"/>
      <c r="C27" s="406"/>
      <c r="D27" s="235"/>
      <c r="E27" s="406"/>
      <c r="F27" s="406"/>
      <c r="G27" s="406"/>
    </row>
    <row r="28" spans="1:10">
      <c r="A28" s="406"/>
      <c r="B28" s="406"/>
      <c r="C28" s="406"/>
      <c r="D28" s="235"/>
      <c r="E28" s="235"/>
      <c r="F28" s="235"/>
      <c r="G28" s="235"/>
    </row>
    <row r="29" spans="1:10">
      <c r="A29" s="406"/>
      <c r="B29" s="406"/>
      <c r="C29" s="406"/>
      <c r="D29" s="235"/>
      <c r="E29" s="235"/>
      <c r="F29" s="235"/>
      <c r="G29" s="235"/>
    </row>
    <row r="30" spans="1:10">
      <c r="A30" s="406"/>
      <c r="B30" s="406"/>
      <c r="C30" s="406"/>
      <c r="D30" s="235"/>
      <c r="E30" s="235"/>
      <c r="F30" s="235"/>
      <c r="G30" s="235"/>
    </row>
    <row r="31" spans="1:10">
      <c r="A31" s="411"/>
      <c r="B31" s="411"/>
      <c r="C31" s="411"/>
      <c r="D31" s="412"/>
      <c r="E31" s="412"/>
      <c r="F31" s="412"/>
      <c r="G31" s="412"/>
    </row>
    <row r="32" spans="1:10" ht="16.5">
      <c r="A32" s="413"/>
      <c r="B32" s="413"/>
      <c r="C32" s="413"/>
      <c r="D32" s="414"/>
      <c r="E32" s="414"/>
      <c r="F32" s="414"/>
      <c r="G32" s="414"/>
    </row>
    <row r="33" spans="1:7" ht="16.5">
      <c r="A33" s="413"/>
      <c r="B33" s="413"/>
      <c r="C33" s="413"/>
      <c r="D33" s="415"/>
      <c r="E33" s="415"/>
      <c r="F33" s="415"/>
      <c r="G33" s="416"/>
    </row>
    <row r="34" spans="1:7" ht="16.5">
      <c r="A34" s="417"/>
      <c r="B34" s="417"/>
      <c r="C34" s="417"/>
      <c r="D34" s="418"/>
      <c r="E34" s="418"/>
      <c r="F34" s="418"/>
      <c r="G34" s="419"/>
    </row>
    <row r="35" spans="1:7" ht="16.5">
      <c r="A35" s="420"/>
      <c r="B35" s="421"/>
      <c r="C35" s="421"/>
      <c r="D35" s="415"/>
      <c r="E35" s="415"/>
      <c r="F35" s="423"/>
      <c r="G35" s="422"/>
    </row>
    <row r="36" spans="1:7" s="380" customFormat="1" ht="15">
      <c r="A36" s="420"/>
      <c r="B36" s="421"/>
      <c r="C36" s="421"/>
      <c r="D36" s="424"/>
      <c r="E36" s="424"/>
      <c r="F36" s="426"/>
      <c r="G36" s="425"/>
    </row>
    <row r="37" spans="1:7" s="380" customFormat="1" ht="15">
      <c r="A37" s="420"/>
      <c r="B37" s="421"/>
      <c r="C37" s="421"/>
      <c r="D37" s="424"/>
      <c r="E37" s="424"/>
      <c r="F37" s="426"/>
      <c r="G37" s="425"/>
    </row>
    <row r="38" spans="1:7" s="380" customFormat="1" ht="15">
      <c r="A38" s="420"/>
      <c r="B38" s="421"/>
      <c r="C38" s="421"/>
      <c r="D38" s="424"/>
      <c r="E38" s="426"/>
      <c r="F38" s="424"/>
      <c r="G38" s="427"/>
    </row>
    <row r="39" spans="1:7" s="380" customFormat="1" ht="15">
      <c r="A39" s="428"/>
      <c r="B39" s="421"/>
      <c r="C39" s="421"/>
      <c r="D39" s="424"/>
      <c r="E39" s="430"/>
      <c r="F39" s="426"/>
      <c r="G39" s="425"/>
    </row>
    <row r="40" spans="1:7" s="380" customFormat="1" ht="15">
      <c r="A40" s="431"/>
      <c r="B40" s="421"/>
      <c r="C40" s="421"/>
      <c r="D40" s="424"/>
      <c r="E40" s="426"/>
      <c r="F40" s="426"/>
      <c r="G40" s="425"/>
    </row>
    <row r="41" spans="1:7" s="380" customFormat="1" ht="15">
      <c r="A41" s="433"/>
      <c r="B41" s="421"/>
      <c r="C41" s="421"/>
      <c r="D41" s="432"/>
      <c r="E41" s="426"/>
      <c r="F41" s="432"/>
      <c r="G41" s="434"/>
    </row>
    <row r="42" spans="1:7" s="380" customFormat="1" ht="15">
      <c r="A42" s="420"/>
      <c r="B42" s="421"/>
      <c r="C42" s="421"/>
      <c r="D42" s="424"/>
      <c r="E42" s="430"/>
      <c r="F42" s="430"/>
      <c r="G42" s="435"/>
    </row>
    <row r="43" spans="1:7" s="380" customFormat="1" ht="15">
      <c r="A43" s="420"/>
      <c r="B43" s="436"/>
      <c r="C43" s="436"/>
      <c r="D43" s="424"/>
      <c r="E43" s="426"/>
      <c r="F43" s="424"/>
      <c r="G43" s="427"/>
    </row>
    <row r="44" spans="1:7" s="380" customFormat="1" ht="15">
      <c r="A44" s="420"/>
      <c r="B44" s="421"/>
      <c r="C44" s="421"/>
      <c r="D44" s="424"/>
      <c r="E44" s="430"/>
      <c r="F44" s="430"/>
      <c r="G44" s="435"/>
    </row>
    <row r="45" spans="1:7">
      <c r="A45" s="55"/>
      <c r="B45" s="55"/>
      <c r="C45" s="55"/>
      <c r="D45" s="437"/>
      <c r="E45" s="55"/>
      <c r="F45" s="55"/>
      <c r="G45" s="55"/>
    </row>
    <row r="46" spans="1:7">
      <c r="A46" s="55"/>
      <c r="B46" s="55"/>
      <c r="C46" s="55"/>
      <c r="D46" s="437"/>
      <c r="E46" s="55"/>
      <c r="F46" s="55"/>
      <c r="G46" s="55"/>
    </row>
  </sheetData>
  <mergeCells count="20">
    <mergeCell ref="H22:J22"/>
    <mergeCell ref="H14:J14"/>
    <mergeCell ref="H16:J16"/>
    <mergeCell ref="H17:J17"/>
    <mergeCell ref="E8:E9"/>
    <mergeCell ref="F8:F9"/>
    <mergeCell ref="G8:G9"/>
    <mergeCell ref="A1:B1"/>
    <mergeCell ref="F1:G1"/>
    <mergeCell ref="A2:B2"/>
    <mergeCell ref="H19:J19"/>
    <mergeCell ref="B7:B9"/>
    <mergeCell ref="A7:A9"/>
    <mergeCell ref="A3:G3"/>
    <mergeCell ref="A4:G4"/>
    <mergeCell ref="E6:G6"/>
    <mergeCell ref="A5:G5"/>
    <mergeCell ref="C7:C9"/>
    <mergeCell ref="D7:G7"/>
    <mergeCell ref="D8:D9"/>
  </mergeCells>
  <conditionalFormatting sqref="B35:C44 B14:C15 B18:C19">
    <cfRule type="expression" dxfId="5" priority="3" stopIfTrue="1">
      <formula>A14=0</formula>
    </cfRule>
  </conditionalFormatting>
  <conditionalFormatting sqref="B20:C20">
    <cfRule type="expression" dxfId="4" priority="2" stopIfTrue="1">
      <formula>A20=0</formula>
    </cfRule>
  </conditionalFormatting>
  <conditionalFormatting sqref="B22:C22">
    <cfRule type="expression" dxfId="3" priority="1" stopIfTrue="1">
      <formula>A22=0</formula>
    </cfRule>
  </conditionalFormatting>
  <pageMargins left="0.45" right="0.2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E13" sqref="E13"/>
    </sheetView>
  </sheetViews>
  <sheetFormatPr defaultColWidth="9" defaultRowHeight="15.75"/>
  <cols>
    <col min="1" max="1" width="6.77734375" style="22" customWidth="1"/>
    <col min="2" max="2" width="33.33203125" style="22" customWidth="1"/>
    <col min="3" max="3" width="18.33203125" style="22" customWidth="1"/>
    <col min="4" max="4" width="17.21875" style="347" customWidth="1"/>
    <col min="5" max="5" width="13.21875" style="22" customWidth="1"/>
    <col min="6" max="6" width="17.33203125" style="22" customWidth="1"/>
    <col min="7" max="7" width="12.77734375" style="22" customWidth="1"/>
    <col min="8" max="8" width="11.5546875" style="22" customWidth="1"/>
    <col min="9" max="9" width="9" style="22"/>
    <col min="10" max="10" width="19.77734375" style="22" customWidth="1"/>
    <col min="11" max="16384" width="9" style="22"/>
  </cols>
  <sheetData>
    <row r="1" spans="1:11">
      <c r="A1" s="983" t="s">
        <v>49</v>
      </c>
      <c r="B1" s="983"/>
      <c r="C1" s="514"/>
      <c r="G1" s="845" t="s">
        <v>94</v>
      </c>
      <c r="H1" s="845"/>
    </row>
    <row r="2" spans="1:11" ht="21" customHeight="1">
      <c r="A2" s="984" t="s">
        <v>38</v>
      </c>
      <c r="B2" s="984"/>
      <c r="C2" s="515"/>
      <c r="D2" s="438"/>
      <c r="E2" s="438"/>
      <c r="F2" s="438"/>
      <c r="G2" s="438"/>
      <c r="H2" s="438"/>
    </row>
    <row r="3" spans="1:11" ht="31.5" customHeight="1">
      <c r="A3" s="988" t="s">
        <v>181</v>
      </c>
      <c r="B3" s="988"/>
      <c r="C3" s="988"/>
      <c r="D3" s="988"/>
      <c r="E3" s="988"/>
      <c r="F3" s="988"/>
      <c r="G3" s="988"/>
      <c r="H3" s="988"/>
      <c r="I3" s="438"/>
    </row>
    <row r="4" spans="1:11" ht="18.75" customHeight="1">
      <c r="A4" s="941" t="s">
        <v>96</v>
      </c>
      <c r="B4" s="941"/>
      <c r="C4" s="941"/>
      <c r="D4" s="941"/>
      <c r="E4" s="941"/>
      <c r="F4" s="941"/>
      <c r="G4" s="941"/>
      <c r="H4" s="941"/>
      <c r="I4" s="79"/>
    </row>
    <row r="5" spans="1:11" ht="18.75" customHeight="1">
      <c r="A5" s="845" t="s">
        <v>160</v>
      </c>
      <c r="B5" s="845"/>
      <c r="C5" s="845"/>
      <c r="D5" s="845"/>
      <c r="E5" s="845"/>
      <c r="F5" s="845"/>
      <c r="G5" s="845"/>
      <c r="H5" s="845"/>
      <c r="I5" s="79"/>
    </row>
    <row r="6" spans="1:11">
      <c r="B6" s="26"/>
      <c r="C6" s="26"/>
      <c r="D6" s="22"/>
      <c r="F6" s="930" t="s">
        <v>85</v>
      </c>
      <c r="G6" s="930"/>
      <c r="H6" s="930"/>
    </row>
    <row r="7" spans="1:11" s="18" customFormat="1" ht="18" customHeight="1">
      <c r="A7" s="996" t="s">
        <v>12</v>
      </c>
      <c r="B7" s="996" t="s">
        <v>50</v>
      </c>
      <c r="C7" s="990" t="s">
        <v>192</v>
      </c>
      <c r="D7" s="993" t="s">
        <v>86</v>
      </c>
      <c r="E7" s="994"/>
      <c r="F7" s="994"/>
      <c r="G7" s="994"/>
      <c r="H7" s="995"/>
    </row>
    <row r="8" spans="1:11" s="18" customFormat="1" ht="18" customHeight="1">
      <c r="A8" s="996"/>
      <c r="B8" s="996"/>
      <c r="C8" s="991"/>
      <c r="D8" s="990" t="s">
        <v>171</v>
      </c>
      <c r="E8" s="990" t="s">
        <v>173</v>
      </c>
      <c r="F8" s="993" t="s">
        <v>88</v>
      </c>
      <c r="G8" s="994"/>
      <c r="H8" s="995"/>
    </row>
    <row r="9" spans="1:11" s="18" customFormat="1" ht="15.75" customHeight="1">
      <c r="A9" s="996"/>
      <c r="B9" s="996"/>
      <c r="C9" s="991"/>
      <c r="D9" s="991"/>
      <c r="E9" s="991"/>
      <c r="F9" s="348">
        <v>0.5</v>
      </c>
      <c r="G9" s="348">
        <v>0.7</v>
      </c>
      <c r="H9" s="349">
        <v>1</v>
      </c>
    </row>
    <row r="10" spans="1:11" s="18" customFormat="1" ht="43.5" customHeight="1">
      <c r="A10" s="990"/>
      <c r="B10" s="990"/>
      <c r="C10" s="992"/>
      <c r="D10" s="992"/>
      <c r="E10" s="991"/>
      <c r="F10" s="350" t="s">
        <v>91</v>
      </c>
      <c r="G10" s="350" t="s">
        <v>92</v>
      </c>
      <c r="H10" s="350" t="s">
        <v>93</v>
      </c>
    </row>
    <row r="11" spans="1:11" s="352" customFormat="1" ht="22.5" customHeight="1">
      <c r="A11" s="351" t="s">
        <v>16</v>
      </c>
      <c r="B11" s="351" t="s">
        <v>17</v>
      </c>
      <c r="C11" s="351" t="s">
        <v>77</v>
      </c>
      <c r="D11" s="351" t="s">
        <v>118</v>
      </c>
      <c r="E11" s="351">
        <v>2</v>
      </c>
      <c r="F11" s="351">
        <v>3</v>
      </c>
      <c r="G11" s="351">
        <v>4</v>
      </c>
      <c r="H11" s="351">
        <v>5</v>
      </c>
    </row>
    <row r="12" spans="1:11" s="356" customFormat="1" ht="24.95" customHeight="1">
      <c r="A12" s="353"/>
      <c r="B12" s="353" t="s">
        <v>13</v>
      </c>
      <c r="C12" s="353"/>
      <c r="D12" s="354"/>
      <c r="E12" s="354"/>
      <c r="F12" s="355"/>
      <c r="G12" s="355"/>
      <c r="H12" s="355"/>
      <c r="J12" s="357"/>
    </row>
    <row r="13" spans="1:11" s="356" customFormat="1" ht="24.95" customHeight="1">
      <c r="A13" s="358"/>
      <c r="B13" s="358"/>
      <c r="C13" s="358"/>
      <c r="D13" s="359"/>
      <c r="E13" s="359"/>
      <c r="F13" s="360"/>
      <c r="G13" s="360"/>
      <c r="H13" s="360"/>
      <c r="J13" s="361"/>
    </row>
    <row r="14" spans="1:11" s="365" customFormat="1" ht="24.95" customHeight="1">
      <c r="A14" s="362"/>
      <c r="B14" s="362"/>
      <c r="C14" s="362"/>
      <c r="D14" s="363"/>
      <c r="E14" s="363"/>
      <c r="F14" s="364"/>
      <c r="G14" s="364"/>
      <c r="H14" s="364"/>
    </row>
    <row r="15" spans="1:11" s="369" customFormat="1" ht="24.95" customHeight="1">
      <c r="A15" s="366"/>
      <c r="B15" s="367"/>
      <c r="C15" s="367"/>
      <c r="D15" s="359"/>
      <c r="E15" s="359"/>
      <c r="F15" s="360"/>
      <c r="G15" s="360"/>
      <c r="H15" s="360"/>
      <c r="I15" s="950"/>
      <c r="J15" s="951"/>
      <c r="K15" s="951"/>
    </row>
    <row r="16" spans="1:11" s="369" customFormat="1" ht="24.95" customHeight="1">
      <c r="A16" s="370"/>
      <c r="B16" s="371"/>
      <c r="C16" s="371"/>
      <c r="D16" s="359"/>
      <c r="E16" s="359"/>
      <c r="F16" s="360"/>
      <c r="G16" s="360"/>
      <c r="H16" s="360"/>
    </row>
    <row r="17" spans="1:11" s="380" customFormat="1" ht="24.95" customHeight="1">
      <c r="A17" s="373"/>
      <c r="B17" s="374"/>
      <c r="C17" s="374"/>
      <c r="D17" s="375"/>
      <c r="E17" s="376"/>
      <c r="F17" s="377"/>
      <c r="G17" s="377"/>
      <c r="H17" s="377"/>
      <c r="I17" s="950"/>
      <c r="J17" s="951"/>
      <c r="K17" s="951"/>
    </row>
    <row r="18" spans="1:11" s="380" customFormat="1" ht="24.95" customHeight="1">
      <c r="A18" s="381"/>
      <c r="B18" s="374"/>
      <c r="C18" s="374"/>
      <c r="D18" s="375"/>
      <c r="E18" s="382"/>
      <c r="F18" s="377"/>
      <c r="G18" s="377"/>
      <c r="H18" s="377"/>
      <c r="I18" s="950"/>
      <c r="J18" s="951"/>
      <c r="K18" s="951"/>
    </row>
    <row r="19" spans="1:11" s="356" customFormat="1" ht="24.95" customHeight="1">
      <c r="A19" s="383"/>
      <c r="B19" s="384"/>
      <c r="C19" s="384"/>
      <c r="D19" s="359"/>
      <c r="E19" s="359"/>
      <c r="F19" s="360"/>
      <c r="G19" s="360"/>
      <c r="H19" s="360"/>
    </row>
    <row r="20" spans="1:11" s="380" customFormat="1" ht="24.95" customHeight="1">
      <c r="A20" s="370"/>
      <c r="B20" s="367"/>
      <c r="C20" s="367"/>
      <c r="D20" s="359"/>
      <c r="E20" s="385"/>
      <c r="F20" s="386"/>
      <c r="G20" s="386"/>
      <c r="H20" s="386"/>
      <c r="I20" s="950"/>
      <c r="J20" s="951"/>
      <c r="K20" s="951"/>
    </row>
    <row r="21" spans="1:11" s="380" customFormat="1" ht="24.95" customHeight="1">
      <c r="A21" s="388"/>
      <c r="B21" s="384"/>
      <c r="C21" s="384"/>
      <c r="D21" s="389"/>
      <c r="E21" s="389"/>
      <c r="F21" s="390"/>
      <c r="G21" s="390"/>
      <c r="H21" s="390"/>
    </row>
    <row r="22" spans="1:11" s="395" customFormat="1" ht="24.95" customHeight="1">
      <c r="A22" s="391"/>
      <c r="B22" s="392"/>
      <c r="C22" s="392"/>
      <c r="D22" s="393"/>
      <c r="E22" s="393"/>
      <c r="F22" s="394"/>
      <c r="G22" s="394"/>
      <c r="H22" s="394"/>
    </row>
    <row r="23" spans="1:11" ht="24.95" customHeight="1">
      <c r="A23" s="396"/>
      <c r="B23" s="397"/>
      <c r="C23" s="397"/>
      <c r="D23" s="398"/>
      <c r="E23" s="399"/>
      <c r="F23" s="400"/>
      <c r="G23" s="400"/>
      <c r="H23" s="400"/>
      <c r="I23" s="950"/>
      <c r="J23" s="951"/>
      <c r="K23" s="951"/>
    </row>
    <row r="24" spans="1:11">
      <c r="A24" s="402"/>
      <c r="B24" s="402"/>
      <c r="C24" s="402"/>
      <c r="D24" s="403"/>
      <c r="E24" s="403"/>
      <c r="F24" s="403"/>
      <c r="G24" s="403"/>
      <c r="H24" s="403"/>
    </row>
    <row r="25" spans="1:11">
      <c r="A25" s="55"/>
      <c r="B25" s="55"/>
      <c r="C25" s="55"/>
      <c r="D25" s="404"/>
      <c r="E25" s="404"/>
      <c r="F25" s="404"/>
      <c r="G25" s="404"/>
      <c r="H25" s="404"/>
    </row>
    <row r="26" spans="1:11">
      <c r="A26" s="55"/>
      <c r="B26" s="55"/>
      <c r="C26" s="55"/>
      <c r="D26" s="405"/>
      <c r="E26" s="405"/>
      <c r="F26" s="405"/>
      <c r="G26" s="405"/>
      <c r="H26" s="405"/>
    </row>
    <row r="27" spans="1:11">
      <c r="A27" s="55"/>
      <c r="B27" s="68"/>
      <c r="C27" s="68"/>
      <c r="D27" s="55"/>
      <c r="E27" s="55"/>
      <c r="F27" s="55"/>
      <c r="G27" s="55"/>
      <c r="H27" s="55"/>
    </row>
    <row r="28" spans="1:11">
      <c r="A28" s="406"/>
      <c r="B28" s="406"/>
      <c r="C28" s="406"/>
      <c r="D28" s="407"/>
      <c r="E28" s="407"/>
      <c r="F28" s="407"/>
      <c r="G28" s="407"/>
      <c r="H28" s="407"/>
    </row>
    <row r="29" spans="1:11">
      <c r="A29" s="406"/>
      <c r="B29" s="406"/>
      <c r="C29" s="406"/>
      <c r="D29" s="235"/>
      <c r="E29" s="235"/>
      <c r="F29" s="408"/>
      <c r="G29" s="408"/>
      <c r="H29" s="408"/>
    </row>
    <row r="30" spans="1:11">
      <c r="A30" s="406"/>
      <c r="B30" s="406"/>
      <c r="C30" s="406"/>
      <c r="D30" s="235"/>
      <c r="E30" s="235"/>
      <c r="F30" s="409"/>
      <c r="G30" s="409"/>
      <c r="H30" s="410"/>
    </row>
    <row r="31" spans="1:11">
      <c r="A31" s="406"/>
      <c r="B31" s="406"/>
      <c r="C31" s="406"/>
      <c r="D31" s="235"/>
      <c r="E31" s="235"/>
      <c r="F31" s="239"/>
      <c r="G31" s="239"/>
      <c r="H31" s="239"/>
    </row>
    <row r="32" spans="1:11">
      <c r="A32" s="411"/>
      <c r="B32" s="411"/>
      <c r="C32" s="411"/>
      <c r="D32" s="412"/>
      <c r="E32" s="412"/>
      <c r="F32" s="412"/>
      <c r="G32" s="412"/>
      <c r="H32" s="412"/>
    </row>
    <row r="33" spans="1:8" ht="16.5">
      <c r="A33" s="413"/>
      <c r="B33" s="413"/>
      <c r="C33" s="413"/>
      <c r="D33" s="414"/>
      <c r="E33" s="414"/>
      <c r="F33" s="414"/>
      <c r="G33" s="414"/>
      <c r="H33" s="414"/>
    </row>
    <row r="34" spans="1:8" ht="16.5">
      <c r="A34" s="413"/>
      <c r="B34" s="413"/>
      <c r="C34" s="413"/>
      <c r="D34" s="415"/>
      <c r="E34" s="415"/>
      <c r="F34" s="415"/>
      <c r="G34" s="415"/>
      <c r="H34" s="415"/>
    </row>
    <row r="35" spans="1:8" ht="16.5">
      <c r="A35" s="417"/>
      <c r="B35" s="417"/>
      <c r="C35" s="417"/>
      <c r="D35" s="418"/>
      <c r="E35" s="418"/>
      <c r="F35" s="418"/>
      <c r="G35" s="418"/>
      <c r="H35" s="418"/>
    </row>
    <row r="36" spans="1:8" ht="16.5">
      <c r="A36" s="420"/>
      <c r="B36" s="421"/>
      <c r="C36" s="421"/>
      <c r="D36" s="415"/>
      <c r="E36" s="415"/>
      <c r="F36" s="422"/>
      <c r="G36" s="415"/>
      <c r="H36" s="423"/>
    </row>
    <row r="37" spans="1:8" s="380" customFormat="1" ht="15">
      <c r="A37" s="420"/>
      <c r="B37" s="421"/>
      <c r="C37" s="421"/>
      <c r="D37" s="424"/>
      <c r="E37" s="424"/>
      <c r="F37" s="425"/>
      <c r="G37" s="424"/>
      <c r="H37" s="426"/>
    </row>
    <row r="38" spans="1:8" s="380" customFormat="1" ht="15">
      <c r="A38" s="420"/>
      <c r="B38" s="421"/>
      <c r="C38" s="421"/>
      <c r="D38" s="424"/>
      <c r="E38" s="424"/>
      <c r="F38" s="425"/>
      <c r="G38" s="424"/>
      <c r="H38" s="426"/>
    </row>
    <row r="39" spans="1:8" s="380" customFormat="1" ht="15">
      <c r="A39" s="420"/>
      <c r="B39" s="421"/>
      <c r="C39" s="421"/>
      <c r="D39" s="424"/>
      <c r="E39" s="424"/>
      <c r="F39" s="424"/>
      <c r="G39" s="424"/>
      <c r="H39" s="424"/>
    </row>
    <row r="40" spans="1:8" s="380" customFormat="1" ht="15">
      <c r="A40" s="428"/>
      <c r="B40" s="421"/>
      <c r="C40" s="421"/>
      <c r="D40" s="424"/>
      <c r="E40" s="429"/>
      <c r="F40" s="425"/>
      <c r="G40" s="425"/>
      <c r="H40" s="425"/>
    </row>
    <row r="41" spans="1:8" s="380" customFormat="1" ht="15">
      <c r="A41" s="431"/>
      <c r="B41" s="421"/>
      <c r="C41" s="421"/>
      <c r="D41" s="424"/>
      <c r="E41" s="432"/>
      <c r="F41" s="426"/>
      <c r="G41" s="426"/>
      <c r="H41" s="426"/>
    </row>
    <row r="42" spans="1:8" s="380" customFormat="1" ht="15">
      <c r="A42" s="433"/>
      <c r="B42" s="421"/>
      <c r="C42" s="421"/>
      <c r="D42" s="432"/>
      <c r="E42" s="432"/>
      <c r="F42" s="432"/>
      <c r="G42" s="432"/>
      <c r="H42" s="432"/>
    </row>
    <row r="43" spans="1:8" s="380" customFormat="1" ht="15">
      <c r="A43" s="420"/>
      <c r="B43" s="421"/>
      <c r="C43" s="421"/>
      <c r="D43" s="424"/>
      <c r="E43" s="429"/>
      <c r="F43" s="430"/>
      <c r="G43" s="430"/>
      <c r="H43" s="430"/>
    </row>
    <row r="44" spans="1:8" s="380" customFormat="1" ht="15">
      <c r="A44" s="420"/>
      <c r="B44" s="436"/>
      <c r="C44" s="436"/>
      <c r="D44" s="424"/>
      <c r="E44" s="424"/>
      <c r="F44" s="424"/>
      <c r="G44" s="424"/>
      <c r="H44" s="424"/>
    </row>
    <row r="45" spans="1:8" s="380" customFormat="1" ht="15">
      <c r="A45" s="420"/>
      <c r="B45" s="421"/>
      <c r="C45" s="421"/>
      <c r="D45" s="424"/>
      <c r="E45" s="429"/>
      <c r="F45" s="430"/>
      <c r="G45" s="430"/>
      <c r="H45" s="430"/>
    </row>
    <row r="46" spans="1:8">
      <c r="A46" s="55"/>
      <c r="B46" s="55"/>
      <c r="C46" s="55"/>
      <c r="D46" s="437"/>
      <c r="E46" s="55"/>
      <c r="F46" s="55"/>
      <c r="G46" s="55"/>
      <c r="H46" s="55"/>
    </row>
    <row r="47" spans="1:8">
      <c r="A47" s="55"/>
      <c r="B47" s="55"/>
      <c r="C47" s="55"/>
      <c r="D47" s="437"/>
      <c r="E47" s="55"/>
      <c r="F47" s="55"/>
      <c r="G47" s="55"/>
      <c r="H47" s="55"/>
    </row>
  </sheetData>
  <mergeCells count="19">
    <mergeCell ref="I20:K20"/>
    <mergeCell ref="I23:K23"/>
    <mergeCell ref="I15:K15"/>
    <mergeCell ref="I17:K17"/>
    <mergeCell ref="I18:K18"/>
    <mergeCell ref="F6:H6"/>
    <mergeCell ref="A7:A10"/>
    <mergeCell ref="B7:B10"/>
    <mergeCell ref="D7:H7"/>
    <mergeCell ref="D8:D10"/>
    <mergeCell ref="E8:E10"/>
    <mergeCell ref="F8:H8"/>
    <mergeCell ref="C7:C10"/>
    <mergeCell ref="A5:H5"/>
    <mergeCell ref="A1:B1"/>
    <mergeCell ref="G1:H1"/>
    <mergeCell ref="A2:B2"/>
    <mergeCell ref="A3:H3"/>
    <mergeCell ref="A4:H4"/>
  </mergeCells>
  <conditionalFormatting sqref="B36:C45 B15:C16 B19:C20">
    <cfRule type="expression" dxfId="2" priority="3" stopIfTrue="1">
      <formula>A15=0</formula>
    </cfRule>
  </conditionalFormatting>
  <conditionalFormatting sqref="B21:C21">
    <cfRule type="expression" dxfId="1" priority="2" stopIfTrue="1">
      <formula>A21=0</formula>
    </cfRule>
  </conditionalFormatting>
  <conditionalFormatting sqref="B23:C23">
    <cfRule type="expression" dxfId="0" priority="1" stopIfTrue="1">
      <formula>A23=0</formula>
    </cfRule>
  </conditionalFormatting>
  <pageMargins left="0.2" right="0.2" top="0.75" bottom="0.75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6" workbookViewId="0">
      <selection activeCell="J14" sqref="J14"/>
    </sheetView>
  </sheetViews>
  <sheetFormatPr defaultRowHeight="12.75"/>
  <cols>
    <col min="1" max="1" width="5.44140625" style="491" customWidth="1"/>
    <col min="2" max="2" width="21.33203125" style="491" customWidth="1"/>
    <col min="3" max="3" width="8.77734375" style="491" customWidth="1"/>
    <col min="4" max="4" width="8.44140625" style="491" customWidth="1"/>
    <col min="5" max="5" width="7.5546875" style="491" customWidth="1"/>
    <col min="6" max="6" width="9.77734375" style="491" customWidth="1"/>
    <col min="7" max="7" width="14.77734375" style="491" customWidth="1"/>
    <col min="8" max="8" width="12.44140625" style="491" customWidth="1"/>
    <col min="9" max="9" width="10" style="491" customWidth="1"/>
    <col min="10" max="10" width="9.33203125" style="491" customWidth="1"/>
    <col min="11" max="11" width="11.77734375" style="491" customWidth="1"/>
    <col min="12" max="12" width="16.77734375" style="491" customWidth="1"/>
    <col min="13" max="13" width="11.109375" style="491" customWidth="1"/>
    <col min="14" max="14" width="11.77734375" style="491" customWidth="1"/>
    <col min="15" max="16" width="9" style="491"/>
    <col min="17" max="17" width="11.109375" style="491" customWidth="1"/>
    <col min="18" max="18" width="11.77734375" style="491" customWidth="1"/>
    <col min="19" max="256" width="9" style="491"/>
    <col min="257" max="257" width="5.44140625" style="491" customWidth="1"/>
    <col min="258" max="258" width="21.33203125" style="491" customWidth="1"/>
    <col min="259" max="259" width="8.77734375" style="491" customWidth="1"/>
    <col min="260" max="260" width="8.44140625" style="491" customWidth="1"/>
    <col min="261" max="261" width="7.5546875" style="491" customWidth="1"/>
    <col min="262" max="262" width="9.77734375" style="491" customWidth="1"/>
    <col min="263" max="263" width="14.77734375" style="491" customWidth="1"/>
    <col min="264" max="264" width="12.44140625" style="491" customWidth="1"/>
    <col min="265" max="265" width="10" style="491" customWidth="1"/>
    <col min="266" max="266" width="9.33203125" style="491" customWidth="1"/>
    <col min="267" max="267" width="11.77734375" style="491" customWidth="1"/>
    <col min="268" max="268" width="16.77734375" style="491" customWidth="1"/>
    <col min="269" max="269" width="11.109375" style="491" customWidth="1"/>
    <col min="270" max="270" width="11.77734375" style="491" customWidth="1"/>
    <col min="271" max="272" width="9" style="491"/>
    <col min="273" max="273" width="11.109375" style="491" customWidth="1"/>
    <col min="274" max="274" width="11.77734375" style="491" customWidth="1"/>
    <col min="275" max="512" width="9" style="491"/>
    <col min="513" max="513" width="5.44140625" style="491" customWidth="1"/>
    <col min="514" max="514" width="21.33203125" style="491" customWidth="1"/>
    <col min="515" max="515" width="8.77734375" style="491" customWidth="1"/>
    <col min="516" max="516" width="8.44140625" style="491" customWidth="1"/>
    <col min="517" max="517" width="7.5546875" style="491" customWidth="1"/>
    <col min="518" max="518" width="9.77734375" style="491" customWidth="1"/>
    <col min="519" max="519" width="14.77734375" style="491" customWidth="1"/>
    <col min="520" max="520" width="12.44140625" style="491" customWidth="1"/>
    <col min="521" max="521" width="10" style="491" customWidth="1"/>
    <col min="522" max="522" width="9.33203125" style="491" customWidth="1"/>
    <col min="523" max="523" width="11.77734375" style="491" customWidth="1"/>
    <col min="524" max="524" width="16.77734375" style="491" customWidth="1"/>
    <col min="525" max="525" width="11.109375" style="491" customWidth="1"/>
    <col min="526" max="526" width="11.77734375" style="491" customWidth="1"/>
    <col min="527" max="528" width="9" style="491"/>
    <col min="529" max="529" width="11.109375" style="491" customWidth="1"/>
    <col min="530" max="530" width="11.77734375" style="491" customWidth="1"/>
    <col min="531" max="768" width="9" style="491"/>
    <col min="769" max="769" width="5.44140625" style="491" customWidth="1"/>
    <col min="770" max="770" width="21.33203125" style="491" customWidth="1"/>
    <col min="771" max="771" width="8.77734375" style="491" customWidth="1"/>
    <col min="772" max="772" width="8.44140625" style="491" customWidth="1"/>
    <col min="773" max="773" width="7.5546875" style="491" customWidth="1"/>
    <col min="774" max="774" width="9.77734375" style="491" customWidth="1"/>
    <col min="775" max="775" width="14.77734375" style="491" customWidth="1"/>
    <col min="776" max="776" width="12.44140625" style="491" customWidth="1"/>
    <col min="777" max="777" width="10" style="491" customWidth="1"/>
    <col min="778" max="778" width="9.33203125" style="491" customWidth="1"/>
    <col min="779" max="779" width="11.77734375" style="491" customWidth="1"/>
    <col min="780" max="780" width="16.77734375" style="491" customWidth="1"/>
    <col min="781" max="781" width="11.109375" style="491" customWidth="1"/>
    <col min="782" max="782" width="11.77734375" style="491" customWidth="1"/>
    <col min="783" max="784" width="9" style="491"/>
    <col min="785" max="785" width="11.109375" style="491" customWidth="1"/>
    <col min="786" max="786" width="11.77734375" style="491" customWidth="1"/>
    <col min="787" max="1024" width="9" style="491"/>
    <col min="1025" max="1025" width="5.44140625" style="491" customWidth="1"/>
    <col min="1026" max="1026" width="21.33203125" style="491" customWidth="1"/>
    <col min="1027" max="1027" width="8.77734375" style="491" customWidth="1"/>
    <col min="1028" max="1028" width="8.44140625" style="491" customWidth="1"/>
    <col min="1029" max="1029" width="7.5546875" style="491" customWidth="1"/>
    <col min="1030" max="1030" width="9.77734375" style="491" customWidth="1"/>
    <col min="1031" max="1031" width="14.77734375" style="491" customWidth="1"/>
    <col min="1032" max="1032" width="12.44140625" style="491" customWidth="1"/>
    <col min="1033" max="1033" width="10" style="491" customWidth="1"/>
    <col min="1034" max="1034" width="9.33203125" style="491" customWidth="1"/>
    <col min="1035" max="1035" width="11.77734375" style="491" customWidth="1"/>
    <col min="1036" max="1036" width="16.77734375" style="491" customWidth="1"/>
    <col min="1037" max="1037" width="11.109375" style="491" customWidth="1"/>
    <col min="1038" max="1038" width="11.77734375" style="491" customWidth="1"/>
    <col min="1039" max="1040" width="9" style="491"/>
    <col min="1041" max="1041" width="11.109375" style="491" customWidth="1"/>
    <col min="1042" max="1042" width="11.77734375" style="491" customWidth="1"/>
    <col min="1043" max="1280" width="9" style="491"/>
    <col min="1281" max="1281" width="5.44140625" style="491" customWidth="1"/>
    <col min="1282" max="1282" width="21.33203125" style="491" customWidth="1"/>
    <col min="1283" max="1283" width="8.77734375" style="491" customWidth="1"/>
    <col min="1284" max="1284" width="8.44140625" style="491" customWidth="1"/>
    <col min="1285" max="1285" width="7.5546875" style="491" customWidth="1"/>
    <col min="1286" max="1286" width="9.77734375" style="491" customWidth="1"/>
    <col min="1287" max="1287" width="14.77734375" style="491" customWidth="1"/>
    <col min="1288" max="1288" width="12.44140625" style="491" customWidth="1"/>
    <col min="1289" max="1289" width="10" style="491" customWidth="1"/>
    <col min="1290" max="1290" width="9.33203125" style="491" customWidth="1"/>
    <col min="1291" max="1291" width="11.77734375" style="491" customWidth="1"/>
    <col min="1292" max="1292" width="16.77734375" style="491" customWidth="1"/>
    <col min="1293" max="1293" width="11.109375" style="491" customWidth="1"/>
    <col min="1294" max="1294" width="11.77734375" style="491" customWidth="1"/>
    <col min="1295" max="1296" width="9" style="491"/>
    <col min="1297" max="1297" width="11.109375" style="491" customWidth="1"/>
    <col min="1298" max="1298" width="11.77734375" style="491" customWidth="1"/>
    <col min="1299" max="1536" width="9" style="491"/>
    <col min="1537" max="1537" width="5.44140625" style="491" customWidth="1"/>
    <col min="1538" max="1538" width="21.33203125" style="491" customWidth="1"/>
    <col min="1539" max="1539" width="8.77734375" style="491" customWidth="1"/>
    <col min="1540" max="1540" width="8.44140625" style="491" customWidth="1"/>
    <col min="1541" max="1541" width="7.5546875" style="491" customWidth="1"/>
    <col min="1542" max="1542" width="9.77734375" style="491" customWidth="1"/>
    <col min="1543" max="1543" width="14.77734375" style="491" customWidth="1"/>
    <col min="1544" max="1544" width="12.44140625" style="491" customWidth="1"/>
    <col min="1545" max="1545" width="10" style="491" customWidth="1"/>
    <col min="1546" max="1546" width="9.33203125" style="491" customWidth="1"/>
    <col min="1547" max="1547" width="11.77734375" style="491" customWidth="1"/>
    <col min="1548" max="1548" width="16.77734375" style="491" customWidth="1"/>
    <col min="1549" max="1549" width="11.109375" style="491" customWidth="1"/>
    <col min="1550" max="1550" width="11.77734375" style="491" customWidth="1"/>
    <col min="1551" max="1552" width="9" style="491"/>
    <col min="1553" max="1553" width="11.109375" style="491" customWidth="1"/>
    <col min="1554" max="1554" width="11.77734375" style="491" customWidth="1"/>
    <col min="1555" max="1792" width="9" style="491"/>
    <col min="1793" max="1793" width="5.44140625" style="491" customWidth="1"/>
    <col min="1794" max="1794" width="21.33203125" style="491" customWidth="1"/>
    <col min="1795" max="1795" width="8.77734375" style="491" customWidth="1"/>
    <col min="1796" max="1796" width="8.44140625" style="491" customWidth="1"/>
    <col min="1797" max="1797" width="7.5546875" style="491" customWidth="1"/>
    <col min="1798" max="1798" width="9.77734375" style="491" customWidth="1"/>
    <col min="1799" max="1799" width="14.77734375" style="491" customWidth="1"/>
    <col min="1800" max="1800" width="12.44140625" style="491" customWidth="1"/>
    <col min="1801" max="1801" width="10" style="491" customWidth="1"/>
    <col min="1802" max="1802" width="9.33203125" style="491" customWidth="1"/>
    <col min="1803" max="1803" width="11.77734375" style="491" customWidth="1"/>
    <col min="1804" max="1804" width="16.77734375" style="491" customWidth="1"/>
    <col min="1805" max="1805" width="11.109375" style="491" customWidth="1"/>
    <col min="1806" max="1806" width="11.77734375" style="491" customWidth="1"/>
    <col min="1807" max="1808" width="9" style="491"/>
    <col min="1809" max="1809" width="11.109375" style="491" customWidth="1"/>
    <col min="1810" max="1810" width="11.77734375" style="491" customWidth="1"/>
    <col min="1811" max="2048" width="9" style="491"/>
    <col min="2049" max="2049" width="5.44140625" style="491" customWidth="1"/>
    <col min="2050" max="2050" width="21.33203125" style="491" customWidth="1"/>
    <col min="2051" max="2051" width="8.77734375" style="491" customWidth="1"/>
    <col min="2052" max="2052" width="8.44140625" style="491" customWidth="1"/>
    <col min="2053" max="2053" width="7.5546875" style="491" customWidth="1"/>
    <col min="2054" max="2054" width="9.77734375" style="491" customWidth="1"/>
    <col min="2055" max="2055" width="14.77734375" style="491" customWidth="1"/>
    <col min="2056" max="2056" width="12.44140625" style="491" customWidth="1"/>
    <col min="2057" max="2057" width="10" style="491" customWidth="1"/>
    <col min="2058" max="2058" width="9.33203125" style="491" customWidth="1"/>
    <col min="2059" max="2059" width="11.77734375" style="491" customWidth="1"/>
    <col min="2060" max="2060" width="16.77734375" style="491" customWidth="1"/>
    <col min="2061" max="2061" width="11.109375" style="491" customWidth="1"/>
    <col min="2062" max="2062" width="11.77734375" style="491" customWidth="1"/>
    <col min="2063" max="2064" width="9" style="491"/>
    <col min="2065" max="2065" width="11.109375" style="491" customWidth="1"/>
    <col min="2066" max="2066" width="11.77734375" style="491" customWidth="1"/>
    <col min="2067" max="2304" width="9" style="491"/>
    <col min="2305" max="2305" width="5.44140625" style="491" customWidth="1"/>
    <col min="2306" max="2306" width="21.33203125" style="491" customWidth="1"/>
    <col min="2307" max="2307" width="8.77734375" style="491" customWidth="1"/>
    <col min="2308" max="2308" width="8.44140625" style="491" customWidth="1"/>
    <col min="2309" max="2309" width="7.5546875" style="491" customWidth="1"/>
    <col min="2310" max="2310" width="9.77734375" style="491" customWidth="1"/>
    <col min="2311" max="2311" width="14.77734375" style="491" customWidth="1"/>
    <col min="2312" max="2312" width="12.44140625" style="491" customWidth="1"/>
    <col min="2313" max="2313" width="10" style="491" customWidth="1"/>
    <col min="2314" max="2314" width="9.33203125" style="491" customWidth="1"/>
    <col min="2315" max="2315" width="11.77734375" style="491" customWidth="1"/>
    <col min="2316" max="2316" width="16.77734375" style="491" customWidth="1"/>
    <col min="2317" max="2317" width="11.109375" style="491" customWidth="1"/>
    <col min="2318" max="2318" width="11.77734375" style="491" customWidth="1"/>
    <col min="2319" max="2320" width="9" style="491"/>
    <col min="2321" max="2321" width="11.109375" style="491" customWidth="1"/>
    <col min="2322" max="2322" width="11.77734375" style="491" customWidth="1"/>
    <col min="2323" max="2560" width="9" style="491"/>
    <col min="2561" max="2561" width="5.44140625" style="491" customWidth="1"/>
    <col min="2562" max="2562" width="21.33203125" style="491" customWidth="1"/>
    <col min="2563" max="2563" width="8.77734375" style="491" customWidth="1"/>
    <col min="2564" max="2564" width="8.44140625" style="491" customWidth="1"/>
    <col min="2565" max="2565" width="7.5546875" style="491" customWidth="1"/>
    <col min="2566" max="2566" width="9.77734375" style="491" customWidth="1"/>
    <col min="2567" max="2567" width="14.77734375" style="491" customWidth="1"/>
    <col min="2568" max="2568" width="12.44140625" style="491" customWidth="1"/>
    <col min="2569" max="2569" width="10" style="491" customWidth="1"/>
    <col min="2570" max="2570" width="9.33203125" style="491" customWidth="1"/>
    <col min="2571" max="2571" width="11.77734375" style="491" customWidth="1"/>
    <col min="2572" max="2572" width="16.77734375" style="491" customWidth="1"/>
    <col min="2573" max="2573" width="11.109375" style="491" customWidth="1"/>
    <col min="2574" max="2574" width="11.77734375" style="491" customWidth="1"/>
    <col min="2575" max="2576" width="9" style="491"/>
    <col min="2577" max="2577" width="11.109375" style="491" customWidth="1"/>
    <col min="2578" max="2578" width="11.77734375" style="491" customWidth="1"/>
    <col min="2579" max="2816" width="9" style="491"/>
    <col min="2817" max="2817" width="5.44140625" style="491" customWidth="1"/>
    <col min="2818" max="2818" width="21.33203125" style="491" customWidth="1"/>
    <col min="2819" max="2819" width="8.77734375" style="491" customWidth="1"/>
    <col min="2820" max="2820" width="8.44140625" style="491" customWidth="1"/>
    <col min="2821" max="2821" width="7.5546875" style="491" customWidth="1"/>
    <col min="2822" max="2822" width="9.77734375" style="491" customWidth="1"/>
    <col min="2823" max="2823" width="14.77734375" style="491" customWidth="1"/>
    <col min="2824" max="2824" width="12.44140625" style="491" customWidth="1"/>
    <col min="2825" max="2825" width="10" style="491" customWidth="1"/>
    <col min="2826" max="2826" width="9.33203125" style="491" customWidth="1"/>
    <col min="2827" max="2827" width="11.77734375" style="491" customWidth="1"/>
    <col min="2828" max="2828" width="16.77734375" style="491" customWidth="1"/>
    <col min="2829" max="2829" width="11.109375" style="491" customWidth="1"/>
    <col min="2830" max="2830" width="11.77734375" style="491" customWidth="1"/>
    <col min="2831" max="2832" width="9" style="491"/>
    <col min="2833" max="2833" width="11.109375" style="491" customWidth="1"/>
    <col min="2834" max="2834" width="11.77734375" style="491" customWidth="1"/>
    <col min="2835" max="3072" width="9" style="491"/>
    <col min="3073" max="3073" width="5.44140625" style="491" customWidth="1"/>
    <col min="3074" max="3074" width="21.33203125" style="491" customWidth="1"/>
    <col min="3075" max="3075" width="8.77734375" style="491" customWidth="1"/>
    <col min="3076" max="3076" width="8.44140625" style="491" customWidth="1"/>
    <col min="3077" max="3077" width="7.5546875" style="491" customWidth="1"/>
    <col min="3078" max="3078" width="9.77734375" style="491" customWidth="1"/>
    <col min="3079" max="3079" width="14.77734375" style="491" customWidth="1"/>
    <col min="3080" max="3080" width="12.44140625" style="491" customWidth="1"/>
    <col min="3081" max="3081" width="10" style="491" customWidth="1"/>
    <col min="3082" max="3082" width="9.33203125" style="491" customWidth="1"/>
    <col min="3083" max="3083" width="11.77734375" style="491" customWidth="1"/>
    <col min="3084" max="3084" width="16.77734375" style="491" customWidth="1"/>
    <col min="3085" max="3085" width="11.109375" style="491" customWidth="1"/>
    <col min="3086" max="3086" width="11.77734375" style="491" customWidth="1"/>
    <col min="3087" max="3088" width="9" style="491"/>
    <col min="3089" max="3089" width="11.109375" style="491" customWidth="1"/>
    <col min="3090" max="3090" width="11.77734375" style="491" customWidth="1"/>
    <col min="3091" max="3328" width="9" style="491"/>
    <col min="3329" max="3329" width="5.44140625" style="491" customWidth="1"/>
    <col min="3330" max="3330" width="21.33203125" style="491" customWidth="1"/>
    <col min="3331" max="3331" width="8.77734375" style="491" customWidth="1"/>
    <col min="3332" max="3332" width="8.44140625" style="491" customWidth="1"/>
    <col min="3333" max="3333" width="7.5546875" style="491" customWidth="1"/>
    <col min="3334" max="3334" width="9.77734375" style="491" customWidth="1"/>
    <col min="3335" max="3335" width="14.77734375" style="491" customWidth="1"/>
    <col min="3336" max="3336" width="12.44140625" style="491" customWidth="1"/>
    <col min="3337" max="3337" width="10" style="491" customWidth="1"/>
    <col min="3338" max="3338" width="9.33203125" style="491" customWidth="1"/>
    <col min="3339" max="3339" width="11.77734375" style="491" customWidth="1"/>
    <col min="3340" max="3340" width="16.77734375" style="491" customWidth="1"/>
    <col min="3341" max="3341" width="11.109375" style="491" customWidth="1"/>
    <col min="3342" max="3342" width="11.77734375" style="491" customWidth="1"/>
    <col min="3343" max="3344" width="9" style="491"/>
    <col min="3345" max="3345" width="11.109375" style="491" customWidth="1"/>
    <col min="3346" max="3346" width="11.77734375" style="491" customWidth="1"/>
    <col min="3347" max="3584" width="9" style="491"/>
    <col min="3585" max="3585" width="5.44140625" style="491" customWidth="1"/>
    <col min="3586" max="3586" width="21.33203125" style="491" customWidth="1"/>
    <col min="3587" max="3587" width="8.77734375" style="491" customWidth="1"/>
    <col min="3588" max="3588" width="8.44140625" style="491" customWidth="1"/>
    <col min="3589" max="3589" width="7.5546875" style="491" customWidth="1"/>
    <col min="3590" max="3590" width="9.77734375" style="491" customWidth="1"/>
    <col min="3591" max="3591" width="14.77734375" style="491" customWidth="1"/>
    <col min="3592" max="3592" width="12.44140625" style="491" customWidth="1"/>
    <col min="3593" max="3593" width="10" style="491" customWidth="1"/>
    <col min="3594" max="3594" width="9.33203125" style="491" customWidth="1"/>
    <col min="3595" max="3595" width="11.77734375" style="491" customWidth="1"/>
    <col min="3596" max="3596" width="16.77734375" style="491" customWidth="1"/>
    <col min="3597" max="3597" width="11.109375" style="491" customWidth="1"/>
    <col min="3598" max="3598" width="11.77734375" style="491" customWidth="1"/>
    <col min="3599" max="3600" width="9" style="491"/>
    <col min="3601" max="3601" width="11.109375" style="491" customWidth="1"/>
    <col min="3602" max="3602" width="11.77734375" style="491" customWidth="1"/>
    <col min="3603" max="3840" width="9" style="491"/>
    <col min="3841" max="3841" width="5.44140625" style="491" customWidth="1"/>
    <col min="3842" max="3842" width="21.33203125" style="491" customWidth="1"/>
    <col min="3843" max="3843" width="8.77734375" style="491" customWidth="1"/>
    <col min="3844" max="3844" width="8.44140625" style="491" customWidth="1"/>
    <col min="3845" max="3845" width="7.5546875" style="491" customWidth="1"/>
    <col min="3846" max="3846" width="9.77734375" style="491" customWidth="1"/>
    <col min="3847" max="3847" width="14.77734375" style="491" customWidth="1"/>
    <col min="3848" max="3848" width="12.44140625" style="491" customWidth="1"/>
    <col min="3849" max="3849" width="10" style="491" customWidth="1"/>
    <col min="3850" max="3850" width="9.33203125" style="491" customWidth="1"/>
    <col min="3851" max="3851" width="11.77734375" style="491" customWidth="1"/>
    <col min="3852" max="3852" width="16.77734375" style="491" customWidth="1"/>
    <col min="3853" max="3853" width="11.109375" style="491" customWidth="1"/>
    <col min="3854" max="3854" width="11.77734375" style="491" customWidth="1"/>
    <col min="3855" max="3856" width="9" style="491"/>
    <col min="3857" max="3857" width="11.109375" style="491" customWidth="1"/>
    <col min="3858" max="3858" width="11.77734375" style="491" customWidth="1"/>
    <col min="3859" max="4096" width="9" style="491"/>
    <col min="4097" max="4097" width="5.44140625" style="491" customWidth="1"/>
    <col min="4098" max="4098" width="21.33203125" style="491" customWidth="1"/>
    <col min="4099" max="4099" width="8.77734375" style="491" customWidth="1"/>
    <col min="4100" max="4100" width="8.44140625" style="491" customWidth="1"/>
    <col min="4101" max="4101" width="7.5546875" style="491" customWidth="1"/>
    <col min="4102" max="4102" width="9.77734375" style="491" customWidth="1"/>
    <col min="4103" max="4103" width="14.77734375" style="491" customWidth="1"/>
    <col min="4104" max="4104" width="12.44140625" style="491" customWidth="1"/>
    <col min="4105" max="4105" width="10" style="491" customWidth="1"/>
    <col min="4106" max="4106" width="9.33203125" style="491" customWidth="1"/>
    <col min="4107" max="4107" width="11.77734375" style="491" customWidth="1"/>
    <col min="4108" max="4108" width="16.77734375" style="491" customWidth="1"/>
    <col min="4109" max="4109" width="11.109375" style="491" customWidth="1"/>
    <col min="4110" max="4110" width="11.77734375" style="491" customWidth="1"/>
    <col min="4111" max="4112" width="9" style="491"/>
    <col min="4113" max="4113" width="11.109375" style="491" customWidth="1"/>
    <col min="4114" max="4114" width="11.77734375" style="491" customWidth="1"/>
    <col min="4115" max="4352" width="9" style="491"/>
    <col min="4353" max="4353" width="5.44140625" style="491" customWidth="1"/>
    <col min="4354" max="4354" width="21.33203125" style="491" customWidth="1"/>
    <col min="4355" max="4355" width="8.77734375" style="491" customWidth="1"/>
    <col min="4356" max="4356" width="8.44140625" style="491" customWidth="1"/>
    <col min="4357" max="4357" width="7.5546875" style="491" customWidth="1"/>
    <col min="4358" max="4358" width="9.77734375" style="491" customWidth="1"/>
    <col min="4359" max="4359" width="14.77734375" style="491" customWidth="1"/>
    <col min="4360" max="4360" width="12.44140625" style="491" customWidth="1"/>
    <col min="4361" max="4361" width="10" style="491" customWidth="1"/>
    <col min="4362" max="4362" width="9.33203125" style="491" customWidth="1"/>
    <col min="4363" max="4363" width="11.77734375" style="491" customWidth="1"/>
    <col min="4364" max="4364" width="16.77734375" style="491" customWidth="1"/>
    <col min="4365" max="4365" width="11.109375" style="491" customWidth="1"/>
    <col min="4366" max="4366" width="11.77734375" style="491" customWidth="1"/>
    <col min="4367" max="4368" width="9" style="491"/>
    <col min="4369" max="4369" width="11.109375" style="491" customWidth="1"/>
    <col min="4370" max="4370" width="11.77734375" style="491" customWidth="1"/>
    <col min="4371" max="4608" width="9" style="491"/>
    <col min="4609" max="4609" width="5.44140625" style="491" customWidth="1"/>
    <col min="4610" max="4610" width="21.33203125" style="491" customWidth="1"/>
    <col min="4611" max="4611" width="8.77734375" style="491" customWidth="1"/>
    <col min="4612" max="4612" width="8.44140625" style="491" customWidth="1"/>
    <col min="4613" max="4613" width="7.5546875" style="491" customWidth="1"/>
    <col min="4614" max="4614" width="9.77734375" style="491" customWidth="1"/>
    <col min="4615" max="4615" width="14.77734375" style="491" customWidth="1"/>
    <col min="4616" max="4616" width="12.44140625" style="491" customWidth="1"/>
    <col min="4617" max="4617" width="10" style="491" customWidth="1"/>
    <col min="4618" max="4618" width="9.33203125" style="491" customWidth="1"/>
    <col min="4619" max="4619" width="11.77734375" style="491" customWidth="1"/>
    <col min="4620" max="4620" width="16.77734375" style="491" customWidth="1"/>
    <col min="4621" max="4621" width="11.109375" style="491" customWidth="1"/>
    <col min="4622" max="4622" width="11.77734375" style="491" customWidth="1"/>
    <col min="4623" max="4624" width="9" style="491"/>
    <col min="4625" max="4625" width="11.109375" style="491" customWidth="1"/>
    <col min="4626" max="4626" width="11.77734375" style="491" customWidth="1"/>
    <col min="4627" max="4864" width="9" style="491"/>
    <col min="4865" max="4865" width="5.44140625" style="491" customWidth="1"/>
    <col min="4866" max="4866" width="21.33203125" style="491" customWidth="1"/>
    <col min="4867" max="4867" width="8.77734375" style="491" customWidth="1"/>
    <col min="4868" max="4868" width="8.44140625" style="491" customWidth="1"/>
    <col min="4869" max="4869" width="7.5546875" style="491" customWidth="1"/>
    <col min="4870" max="4870" width="9.77734375" style="491" customWidth="1"/>
    <col min="4871" max="4871" width="14.77734375" style="491" customWidth="1"/>
    <col min="4872" max="4872" width="12.44140625" style="491" customWidth="1"/>
    <col min="4873" max="4873" width="10" style="491" customWidth="1"/>
    <col min="4874" max="4874" width="9.33203125" style="491" customWidth="1"/>
    <col min="4875" max="4875" width="11.77734375" style="491" customWidth="1"/>
    <col min="4876" max="4876" width="16.77734375" style="491" customWidth="1"/>
    <col min="4877" max="4877" width="11.109375" style="491" customWidth="1"/>
    <col min="4878" max="4878" width="11.77734375" style="491" customWidth="1"/>
    <col min="4879" max="4880" width="9" style="491"/>
    <col min="4881" max="4881" width="11.109375" style="491" customWidth="1"/>
    <col min="4882" max="4882" width="11.77734375" style="491" customWidth="1"/>
    <col min="4883" max="5120" width="9" style="491"/>
    <col min="5121" max="5121" width="5.44140625" style="491" customWidth="1"/>
    <col min="5122" max="5122" width="21.33203125" style="491" customWidth="1"/>
    <col min="5123" max="5123" width="8.77734375" style="491" customWidth="1"/>
    <col min="5124" max="5124" width="8.44140625" style="491" customWidth="1"/>
    <col min="5125" max="5125" width="7.5546875" style="491" customWidth="1"/>
    <col min="5126" max="5126" width="9.77734375" style="491" customWidth="1"/>
    <col min="5127" max="5127" width="14.77734375" style="491" customWidth="1"/>
    <col min="5128" max="5128" width="12.44140625" style="491" customWidth="1"/>
    <col min="5129" max="5129" width="10" style="491" customWidth="1"/>
    <col min="5130" max="5130" width="9.33203125" style="491" customWidth="1"/>
    <col min="5131" max="5131" width="11.77734375" style="491" customWidth="1"/>
    <col min="5132" max="5132" width="16.77734375" style="491" customWidth="1"/>
    <col min="5133" max="5133" width="11.109375" style="491" customWidth="1"/>
    <col min="5134" max="5134" width="11.77734375" style="491" customWidth="1"/>
    <col min="5135" max="5136" width="9" style="491"/>
    <col min="5137" max="5137" width="11.109375" style="491" customWidth="1"/>
    <col min="5138" max="5138" width="11.77734375" style="491" customWidth="1"/>
    <col min="5139" max="5376" width="9" style="491"/>
    <col min="5377" max="5377" width="5.44140625" style="491" customWidth="1"/>
    <col min="5378" max="5378" width="21.33203125" style="491" customWidth="1"/>
    <col min="5379" max="5379" width="8.77734375" style="491" customWidth="1"/>
    <col min="5380" max="5380" width="8.44140625" style="491" customWidth="1"/>
    <col min="5381" max="5381" width="7.5546875" style="491" customWidth="1"/>
    <col min="5382" max="5382" width="9.77734375" style="491" customWidth="1"/>
    <col min="5383" max="5383" width="14.77734375" style="491" customWidth="1"/>
    <col min="5384" max="5384" width="12.44140625" style="491" customWidth="1"/>
    <col min="5385" max="5385" width="10" style="491" customWidth="1"/>
    <col min="5386" max="5386" width="9.33203125" style="491" customWidth="1"/>
    <col min="5387" max="5387" width="11.77734375" style="491" customWidth="1"/>
    <col min="5388" max="5388" width="16.77734375" style="491" customWidth="1"/>
    <col min="5389" max="5389" width="11.109375" style="491" customWidth="1"/>
    <col min="5390" max="5390" width="11.77734375" style="491" customWidth="1"/>
    <col min="5391" max="5392" width="9" style="491"/>
    <col min="5393" max="5393" width="11.109375" style="491" customWidth="1"/>
    <col min="5394" max="5394" width="11.77734375" style="491" customWidth="1"/>
    <col min="5395" max="5632" width="9" style="491"/>
    <col min="5633" max="5633" width="5.44140625" style="491" customWidth="1"/>
    <col min="5634" max="5634" width="21.33203125" style="491" customWidth="1"/>
    <col min="5635" max="5635" width="8.77734375" style="491" customWidth="1"/>
    <col min="5636" max="5636" width="8.44140625" style="491" customWidth="1"/>
    <col min="5637" max="5637" width="7.5546875" style="491" customWidth="1"/>
    <col min="5638" max="5638" width="9.77734375" style="491" customWidth="1"/>
    <col min="5639" max="5639" width="14.77734375" style="491" customWidth="1"/>
    <col min="5640" max="5640" width="12.44140625" style="491" customWidth="1"/>
    <col min="5641" max="5641" width="10" style="491" customWidth="1"/>
    <col min="5642" max="5642" width="9.33203125" style="491" customWidth="1"/>
    <col min="5643" max="5643" width="11.77734375" style="491" customWidth="1"/>
    <col min="5644" max="5644" width="16.77734375" style="491" customWidth="1"/>
    <col min="5645" max="5645" width="11.109375" style="491" customWidth="1"/>
    <col min="5646" max="5646" width="11.77734375" style="491" customWidth="1"/>
    <col min="5647" max="5648" width="9" style="491"/>
    <col min="5649" max="5649" width="11.109375" style="491" customWidth="1"/>
    <col min="5650" max="5650" width="11.77734375" style="491" customWidth="1"/>
    <col min="5651" max="5888" width="9" style="491"/>
    <col min="5889" max="5889" width="5.44140625" style="491" customWidth="1"/>
    <col min="5890" max="5890" width="21.33203125" style="491" customWidth="1"/>
    <col min="5891" max="5891" width="8.77734375" style="491" customWidth="1"/>
    <col min="5892" max="5892" width="8.44140625" style="491" customWidth="1"/>
    <col min="5893" max="5893" width="7.5546875" style="491" customWidth="1"/>
    <col min="5894" max="5894" width="9.77734375" style="491" customWidth="1"/>
    <col min="5895" max="5895" width="14.77734375" style="491" customWidth="1"/>
    <col min="5896" max="5896" width="12.44140625" style="491" customWidth="1"/>
    <col min="5897" max="5897" width="10" style="491" customWidth="1"/>
    <col min="5898" max="5898" width="9.33203125" style="491" customWidth="1"/>
    <col min="5899" max="5899" width="11.77734375" style="491" customWidth="1"/>
    <col min="5900" max="5900" width="16.77734375" style="491" customWidth="1"/>
    <col min="5901" max="5901" width="11.109375" style="491" customWidth="1"/>
    <col min="5902" max="5902" width="11.77734375" style="491" customWidth="1"/>
    <col min="5903" max="5904" width="9" style="491"/>
    <col min="5905" max="5905" width="11.109375" style="491" customWidth="1"/>
    <col min="5906" max="5906" width="11.77734375" style="491" customWidth="1"/>
    <col min="5907" max="6144" width="9" style="491"/>
    <col min="6145" max="6145" width="5.44140625" style="491" customWidth="1"/>
    <col min="6146" max="6146" width="21.33203125" style="491" customWidth="1"/>
    <col min="6147" max="6147" width="8.77734375" style="491" customWidth="1"/>
    <col min="6148" max="6148" width="8.44140625" style="491" customWidth="1"/>
    <col min="6149" max="6149" width="7.5546875" style="491" customWidth="1"/>
    <col min="6150" max="6150" width="9.77734375" style="491" customWidth="1"/>
    <col min="6151" max="6151" width="14.77734375" style="491" customWidth="1"/>
    <col min="6152" max="6152" width="12.44140625" style="491" customWidth="1"/>
    <col min="6153" max="6153" width="10" style="491" customWidth="1"/>
    <col min="6154" max="6154" width="9.33203125" style="491" customWidth="1"/>
    <col min="6155" max="6155" width="11.77734375" style="491" customWidth="1"/>
    <col min="6156" max="6156" width="16.77734375" style="491" customWidth="1"/>
    <col min="6157" max="6157" width="11.109375" style="491" customWidth="1"/>
    <col min="6158" max="6158" width="11.77734375" style="491" customWidth="1"/>
    <col min="6159" max="6160" width="9" style="491"/>
    <col min="6161" max="6161" width="11.109375" style="491" customWidth="1"/>
    <col min="6162" max="6162" width="11.77734375" style="491" customWidth="1"/>
    <col min="6163" max="6400" width="9" style="491"/>
    <col min="6401" max="6401" width="5.44140625" style="491" customWidth="1"/>
    <col min="6402" max="6402" width="21.33203125" style="491" customWidth="1"/>
    <col min="6403" max="6403" width="8.77734375" style="491" customWidth="1"/>
    <col min="6404" max="6404" width="8.44140625" style="491" customWidth="1"/>
    <col min="6405" max="6405" width="7.5546875" style="491" customWidth="1"/>
    <col min="6406" max="6406" width="9.77734375" style="491" customWidth="1"/>
    <col min="6407" max="6407" width="14.77734375" style="491" customWidth="1"/>
    <col min="6408" max="6408" width="12.44140625" style="491" customWidth="1"/>
    <col min="6409" max="6409" width="10" style="491" customWidth="1"/>
    <col min="6410" max="6410" width="9.33203125" style="491" customWidth="1"/>
    <col min="6411" max="6411" width="11.77734375" style="491" customWidth="1"/>
    <col min="6412" max="6412" width="16.77734375" style="491" customWidth="1"/>
    <col min="6413" max="6413" width="11.109375" style="491" customWidth="1"/>
    <col min="6414" max="6414" width="11.77734375" style="491" customWidth="1"/>
    <col min="6415" max="6416" width="9" style="491"/>
    <col min="6417" max="6417" width="11.109375" style="491" customWidth="1"/>
    <col min="6418" max="6418" width="11.77734375" style="491" customWidth="1"/>
    <col min="6419" max="6656" width="9" style="491"/>
    <col min="6657" max="6657" width="5.44140625" style="491" customWidth="1"/>
    <col min="6658" max="6658" width="21.33203125" style="491" customWidth="1"/>
    <col min="6659" max="6659" width="8.77734375" style="491" customWidth="1"/>
    <col min="6660" max="6660" width="8.44140625" style="491" customWidth="1"/>
    <col min="6661" max="6661" width="7.5546875" style="491" customWidth="1"/>
    <col min="6662" max="6662" width="9.77734375" style="491" customWidth="1"/>
    <col min="6663" max="6663" width="14.77734375" style="491" customWidth="1"/>
    <col min="6664" max="6664" width="12.44140625" style="491" customWidth="1"/>
    <col min="6665" max="6665" width="10" style="491" customWidth="1"/>
    <col min="6666" max="6666" width="9.33203125" style="491" customWidth="1"/>
    <col min="6667" max="6667" width="11.77734375" style="491" customWidth="1"/>
    <col min="6668" max="6668" width="16.77734375" style="491" customWidth="1"/>
    <col min="6669" max="6669" width="11.109375" style="491" customWidth="1"/>
    <col min="6670" max="6670" width="11.77734375" style="491" customWidth="1"/>
    <col min="6671" max="6672" width="9" style="491"/>
    <col min="6673" max="6673" width="11.109375" style="491" customWidth="1"/>
    <col min="6674" max="6674" width="11.77734375" style="491" customWidth="1"/>
    <col min="6675" max="6912" width="9" style="491"/>
    <col min="6913" max="6913" width="5.44140625" style="491" customWidth="1"/>
    <col min="6914" max="6914" width="21.33203125" style="491" customWidth="1"/>
    <col min="6915" max="6915" width="8.77734375" style="491" customWidth="1"/>
    <col min="6916" max="6916" width="8.44140625" style="491" customWidth="1"/>
    <col min="6917" max="6917" width="7.5546875" style="491" customWidth="1"/>
    <col min="6918" max="6918" width="9.77734375" style="491" customWidth="1"/>
    <col min="6919" max="6919" width="14.77734375" style="491" customWidth="1"/>
    <col min="6920" max="6920" width="12.44140625" style="491" customWidth="1"/>
    <col min="6921" max="6921" width="10" style="491" customWidth="1"/>
    <col min="6922" max="6922" width="9.33203125" style="491" customWidth="1"/>
    <col min="6923" max="6923" width="11.77734375" style="491" customWidth="1"/>
    <col min="6924" max="6924" width="16.77734375" style="491" customWidth="1"/>
    <col min="6925" max="6925" width="11.109375" style="491" customWidth="1"/>
    <col min="6926" max="6926" width="11.77734375" style="491" customWidth="1"/>
    <col min="6927" max="6928" width="9" style="491"/>
    <col min="6929" max="6929" width="11.109375" style="491" customWidth="1"/>
    <col min="6930" max="6930" width="11.77734375" style="491" customWidth="1"/>
    <col min="6931" max="7168" width="9" style="491"/>
    <col min="7169" max="7169" width="5.44140625" style="491" customWidth="1"/>
    <col min="7170" max="7170" width="21.33203125" style="491" customWidth="1"/>
    <col min="7171" max="7171" width="8.77734375" style="491" customWidth="1"/>
    <col min="7172" max="7172" width="8.44140625" style="491" customWidth="1"/>
    <col min="7173" max="7173" width="7.5546875" style="491" customWidth="1"/>
    <col min="7174" max="7174" width="9.77734375" style="491" customWidth="1"/>
    <col min="7175" max="7175" width="14.77734375" style="491" customWidth="1"/>
    <col min="7176" max="7176" width="12.44140625" style="491" customWidth="1"/>
    <col min="7177" max="7177" width="10" style="491" customWidth="1"/>
    <col min="7178" max="7178" width="9.33203125" style="491" customWidth="1"/>
    <col min="7179" max="7179" width="11.77734375" style="491" customWidth="1"/>
    <col min="7180" max="7180" width="16.77734375" style="491" customWidth="1"/>
    <col min="7181" max="7181" width="11.109375" style="491" customWidth="1"/>
    <col min="7182" max="7182" width="11.77734375" style="491" customWidth="1"/>
    <col min="7183" max="7184" width="9" style="491"/>
    <col min="7185" max="7185" width="11.109375" style="491" customWidth="1"/>
    <col min="7186" max="7186" width="11.77734375" style="491" customWidth="1"/>
    <col min="7187" max="7424" width="9" style="491"/>
    <col min="7425" max="7425" width="5.44140625" style="491" customWidth="1"/>
    <col min="7426" max="7426" width="21.33203125" style="491" customWidth="1"/>
    <col min="7427" max="7427" width="8.77734375" style="491" customWidth="1"/>
    <col min="7428" max="7428" width="8.44140625" style="491" customWidth="1"/>
    <col min="7429" max="7429" width="7.5546875" style="491" customWidth="1"/>
    <col min="7430" max="7430" width="9.77734375" style="491" customWidth="1"/>
    <col min="7431" max="7431" width="14.77734375" style="491" customWidth="1"/>
    <col min="7432" max="7432" width="12.44140625" style="491" customWidth="1"/>
    <col min="7433" max="7433" width="10" style="491" customWidth="1"/>
    <col min="7434" max="7434" width="9.33203125" style="491" customWidth="1"/>
    <col min="7435" max="7435" width="11.77734375" style="491" customWidth="1"/>
    <col min="7436" max="7436" width="16.77734375" style="491" customWidth="1"/>
    <col min="7437" max="7437" width="11.109375" style="491" customWidth="1"/>
    <col min="7438" max="7438" width="11.77734375" style="491" customWidth="1"/>
    <col min="7439" max="7440" width="9" style="491"/>
    <col min="7441" max="7441" width="11.109375" style="491" customWidth="1"/>
    <col min="7442" max="7442" width="11.77734375" style="491" customWidth="1"/>
    <col min="7443" max="7680" width="9" style="491"/>
    <col min="7681" max="7681" width="5.44140625" style="491" customWidth="1"/>
    <col min="7682" max="7682" width="21.33203125" style="491" customWidth="1"/>
    <col min="7683" max="7683" width="8.77734375" style="491" customWidth="1"/>
    <col min="7684" max="7684" width="8.44140625" style="491" customWidth="1"/>
    <col min="7685" max="7685" width="7.5546875" style="491" customWidth="1"/>
    <col min="7686" max="7686" width="9.77734375" style="491" customWidth="1"/>
    <col min="7687" max="7687" width="14.77734375" style="491" customWidth="1"/>
    <col min="7688" max="7688" width="12.44140625" style="491" customWidth="1"/>
    <col min="7689" max="7689" width="10" style="491" customWidth="1"/>
    <col min="7690" max="7690" width="9.33203125" style="491" customWidth="1"/>
    <col min="7691" max="7691" width="11.77734375" style="491" customWidth="1"/>
    <col min="7692" max="7692" width="16.77734375" style="491" customWidth="1"/>
    <col min="7693" max="7693" width="11.109375" style="491" customWidth="1"/>
    <col min="7694" max="7694" width="11.77734375" style="491" customWidth="1"/>
    <col min="7695" max="7696" width="9" style="491"/>
    <col min="7697" max="7697" width="11.109375" style="491" customWidth="1"/>
    <col min="7698" max="7698" width="11.77734375" style="491" customWidth="1"/>
    <col min="7699" max="7936" width="9" style="491"/>
    <col min="7937" max="7937" width="5.44140625" style="491" customWidth="1"/>
    <col min="7938" max="7938" width="21.33203125" style="491" customWidth="1"/>
    <col min="7939" max="7939" width="8.77734375" style="491" customWidth="1"/>
    <col min="7940" max="7940" width="8.44140625" style="491" customWidth="1"/>
    <col min="7941" max="7941" width="7.5546875" style="491" customWidth="1"/>
    <col min="7942" max="7942" width="9.77734375" style="491" customWidth="1"/>
    <col min="7943" max="7943" width="14.77734375" style="491" customWidth="1"/>
    <col min="7944" max="7944" width="12.44140625" style="491" customWidth="1"/>
    <col min="7945" max="7945" width="10" style="491" customWidth="1"/>
    <col min="7946" max="7946" width="9.33203125" style="491" customWidth="1"/>
    <col min="7947" max="7947" width="11.77734375" style="491" customWidth="1"/>
    <col min="7948" max="7948" width="16.77734375" style="491" customWidth="1"/>
    <col min="7949" max="7949" width="11.109375" style="491" customWidth="1"/>
    <col min="7950" max="7950" width="11.77734375" style="491" customWidth="1"/>
    <col min="7951" max="7952" width="9" style="491"/>
    <col min="7953" max="7953" width="11.109375" style="491" customWidth="1"/>
    <col min="7954" max="7954" width="11.77734375" style="491" customWidth="1"/>
    <col min="7955" max="8192" width="9" style="491"/>
    <col min="8193" max="8193" width="5.44140625" style="491" customWidth="1"/>
    <col min="8194" max="8194" width="21.33203125" style="491" customWidth="1"/>
    <col min="8195" max="8195" width="8.77734375" style="491" customWidth="1"/>
    <col min="8196" max="8196" width="8.44140625" style="491" customWidth="1"/>
    <col min="8197" max="8197" width="7.5546875" style="491" customWidth="1"/>
    <col min="8198" max="8198" width="9.77734375" style="491" customWidth="1"/>
    <col min="8199" max="8199" width="14.77734375" style="491" customWidth="1"/>
    <col min="8200" max="8200" width="12.44140625" style="491" customWidth="1"/>
    <col min="8201" max="8201" width="10" style="491" customWidth="1"/>
    <col min="8202" max="8202" width="9.33203125" style="491" customWidth="1"/>
    <col min="8203" max="8203" width="11.77734375" style="491" customWidth="1"/>
    <col min="8204" max="8204" width="16.77734375" style="491" customWidth="1"/>
    <col min="8205" max="8205" width="11.109375" style="491" customWidth="1"/>
    <col min="8206" max="8206" width="11.77734375" style="491" customWidth="1"/>
    <col min="8207" max="8208" width="9" style="491"/>
    <col min="8209" max="8209" width="11.109375" style="491" customWidth="1"/>
    <col min="8210" max="8210" width="11.77734375" style="491" customWidth="1"/>
    <col min="8211" max="8448" width="9" style="491"/>
    <col min="8449" max="8449" width="5.44140625" style="491" customWidth="1"/>
    <col min="8450" max="8450" width="21.33203125" style="491" customWidth="1"/>
    <col min="8451" max="8451" width="8.77734375" style="491" customWidth="1"/>
    <col min="8452" max="8452" width="8.44140625" style="491" customWidth="1"/>
    <col min="8453" max="8453" width="7.5546875" style="491" customWidth="1"/>
    <col min="8454" max="8454" width="9.77734375" style="491" customWidth="1"/>
    <col min="8455" max="8455" width="14.77734375" style="491" customWidth="1"/>
    <col min="8456" max="8456" width="12.44140625" style="491" customWidth="1"/>
    <col min="8457" max="8457" width="10" style="491" customWidth="1"/>
    <col min="8458" max="8458" width="9.33203125" style="491" customWidth="1"/>
    <col min="8459" max="8459" width="11.77734375" style="491" customWidth="1"/>
    <col min="8460" max="8460" width="16.77734375" style="491" customWidth="1"/>
    <col min="8461" max="8461" width="11.109375" style="491" customWidth="1"/>
    <col min="8462" max="8462" width="11.77734375" style="491" customWidth="1"/>
    <col min="8463" max="8464" width="9" style="491"/>
    <col min="8465" max="8465" width="11.109375" style="491" customWidth="1"/>
    <col min="8466" max="8466" width="11.77734375" style="491" customWidth="1"/>
    <col min="8467" max="8704" width="9" style="491"/>
    <col min="8705" max="8705" width="5.44140625" style="491" customWidth="1"/>
    <col min="8706" max="8706" width="21.33203125" style="491" customWidth="1"/>
    <col min="8707" max="8707" width="8.77734375" style="491" customWidth="1"/>
    <col min="8708" max="8708" width="8.44140625" style="491" customWidth="1"/>
    <col min="8709" max="8709" width="7.5546875" style="491" customWidth="1"/>
    <col min="8710" max="8710" width="9.77734375" style="491" customWidth="1"/>
    <col min="8711" max="8711" width="14.77734375" style="491" customWidth="1"/>
    <col min="8712" max="8712" width="12.44140625" style="491" customWidth="1"/>
    <col min="8713" max="8713" width="10" style="491" customWidth="1"/>
    <col min="8714" max="8714" width="9.33203125" style="491" customWidth="1"/>
    <col min="8715" max="8715" width="11.77734375" style="491" customWidth="1"/>
    <col min="8716" max="8716" width="16.77734375" style="491" customWidth="1"/>
    <col min="8717" max="8717" width="11.109375" style="491" customWidth="1"/>
    <col min="8718" max="8718" width="11.77734375" style="491" customWidth="1"/>
    <col min="8719" max="8720" width="9" style="491"/>
    <col min="8721" max="8721" width="11.109375" style="491" customWidth="1"/>
    <col min="8722" max="8722" width="11.77734375" style="491" customWidth="1"/>
    <col min="8723" max="8960" width="9" style="491"/>
    <col min="8961" max="8961" width="5.44140625" style="491" customWidth="1"/>
    <col min="8962" max="8962" width="21.33203125" style="491" customWidth="1"/>
    <col min="8963" max="8963" width="8.77734375" style="491" customWidth="1"/>
    <col min="8964" max="8964" width="8.44140625" style="491" customWidth="1"/>
    <col min="8965" max="8965" width="7.5546875" style="491" customWidth="1"/>
    <col min="8966" max="8966" width="9.77734375" style="491" customWidth="1"/>
    <col min="8967" max="8967" width="14.77734375" style="491" customWidth="1"/>
    <col min="8968" max="8968" width="12.44140625" style="491" customWidth="1"/>
    <col min="8969" max="8969" width="10" style="491" customWidth="1"/>
    <col min="8970" max="8970" width="9.33203125" style="491" customWidth="1"/>
    <col min="8971" max="8971" width="11.77734375" style="491" customWidth="1"/>
    <col min="8972" max="8972" width="16.77734375" style="491" customWidth="1"/>
    <col min="8973" max="8973" width="11.109375" style="491" customWidth="1"/>
    <col min="8974" max="8974" width="11.77734375" style="491" customWidth="1"/>
    <col min="8975" max="8976" width="9" style="491"/>
    <col min="8977" max="8977" width="11.109375" style="491" customWidth="1"/>
    <col min="8978" max="8978" width="11.77734375" style="491" customWidth="1"/>
    <col min="8979" max="9216" width="9" style="491"/>
    <col min="9217" max="9217" width="5.44140625" style="491" customWidth="1"/>
    <col min="9218" max="9218" width="21.33203125" style="491" customWidth="1"/>
    <col min="9219" max="9219" width="8.77734375" style="491" customWidth="1"/>
    <col min="9220" max="9220" width="8.44140625" style="491" customWidth="1"/>
    <col min="9221" max="9221" width="7.5546875" style="491" customWidth="1"/>
    <col min="9222" max="9222" width="9.77734375" style="491" customWidth="1"/>
    <col min="9223" max="9223" width="14.77734375" style="491" customWidth="1"/>
    <col min="9224" max="9224" width="12.44140625" style="491" customWidth="1"/>
    <col min="9225" max="9225" width="10" style="491" customWidth="1"/>
    <col min="9226" max="9226" width="9.33203125" style="491" customWidth="1"/>
    <col min="9227" max="9227" width="11.77734375" style="491" customWidth="1"/>
    <col min="9228" max="9228" width="16.77734375" style="491" customWidth="1"/>
    <col min="9229" max="9229" width="11.109375" style="491" customWidth="1"/>
    <col min="9230" max="9230" width="11.77734375" style="491" customWidth="1"/>
    <col min="9231" max="9232" width="9" style="491"/>
    <col min="9233" max="9233" width="11.109375" style="491" customWidth="1"/>
    <col min="9234" max="9234" width="11.77734375" style="491" customWidth="1"/>
    <col min="9235" max="9472" width="9" style="491"/>
    <col min="9473" max="9473" width="5.44140625" style="491" customWidth="1"/>
    <col min="9474" max="9474" width="21.33203125" style="491" customWidth="1"/>
    <col min="9475" max="9475" width="8.77734375" style="491" customWidth="1"/>
    <col min="9476" max="9476" width="8.44140625" style="491" customWidth="1"/>
    <col min="9477" max="9477" width="7.5546875" style="491" customWidth="1"/>
    <col min="9478" max="9478" width="9.77734375" style="491" customWidth="1"/>
    <col min="9479" max="9479" width="14.77734375" style="491" customWidth="1"/>
    <col min="9480" max="9480" width="12.44140625" style="491" customWidth="1"/>
    <col min="9481" max="9481" width="10" style="491" customWidth="1"/>
    <col min="9482" max="9482" width="9.33203125" style="491" customWidth="1"/>
    <col min="9483" max="9483" width="11.77734375" style="491" customWidth="1"/>
    <col min="9484" max="9484" width="16.77734375" style="491" customWidth="1"/>
    <col min="9485" max="9485" width="11.109375" style="491" customWidth="1"/>
    <col min="9486" max="9486" width="11.77734375" style="491" customWidth="1"/>
    <col min="9487" max="9488" width="9" style="491"/>
    <col min="9489" max="9489" width="11.109375" style="491" customWidth="1"/>
    <col min="9490" max="9490" width="11.77734375" style="491" customWidth="1"/>
    <col min="9491" max="9728" width="9" style="491"/>
    <col min="9729" max="9729" width="5.44140625" style="491" customWidth="1"/>
    <col min="9730" max="9730" width="21.33203125" style="491" customWidth="1"/>
    <col min="9731" max="9731" width="8.77734375" style="491" customWidth="1"/>
    <col min="9732" max="9732" width="8.44140625" style="491" customWidth="1"/>
    <col min="9733" max="9733" width="7.5546875" style="491" customWidth="1"/>
    <col min="9734" max="9734" width="9.77734375" style="491" customWidth="1"/>
    <col min="9735" max="9735" width="14.77734375" style="491" customWidth="1"/>
    <col min="9736" max="9736" width="12.44140625" style="491" customWidth="1"/>
    <col min="9737" max="9737" width="10" style="491" customWidth="1"/>
    <col min="9738" max="9738" width="9.33203125" style="491" customWidth="1"/>
    <col min="9739" max="9739" width="11.77734375" style="491" customWidth="1"/>
    <col min="9740" max="9740" width="16.77734375" style="491" customWidth="1"/>
    <col min="9741" max="9741" width="11.109375" style="491" customWidth="1"/>
    <col min="9742" max="9742" width="11.77734375" style="491" customWidth="1"/>
    <col min="9743" max="9744" width="9" style="491"/>
    <col min="9745" max="9745" width="11.109375" style="491" customWidth="1"/>
    <col min="9746" max="9746" width="11.77734375" style="491" customWidth="1"/>
    <col min="9747" max="9984" width="9" style="491"/>
    <col min="9985" max="9985" width="5.44140625" style="491" customWidth="1"/>
    <col min="9986" max="9986" width="21.33203125" style="491" customWidth="1"/>
    <col min="9987" max="9987" width="8.77734375" style="491" customWidth="1"/>
    <col min="9988" max="9988" width="8.44140625" style="491" customWidth="1"/>
    <col min="9989" max="9989" width="7.5546875" style="491" customWidth="1"/>
    <col min="9990" max="9990" width="9.77734375" style="491" customWidth="1"/>
    <col min="9991" max="9991" width="14.77734375" style="491" customWidth="1"/>
    <col min="9992" max="9992" width="12.44140625" style="491" customWidth="1"/>
    <col min="9993" max="9993" width="10" style="491" customWidth="1"/>
    <col min="9994" max="9994" width="9.33203125" style="491" customWidth="1"/>
    <col min="9995" max="9995" width="11.77734375" style="491" customWidth="1"/>
    <col min="9996" max="9996" width="16.77734375" style="491" customWidth="1"/>
    <col min="9997" max="9997" width="11.109375" style="491" customWidth="1"/>
    <col min="9998" max="9998" width="11.77734375" style="491" customWidth="1"/>
    <col min="9999" max="10000" width="9" style="491"/>
    <col min="10001" max="10001" width="11.109375" style="491" customWidth="1"/>
    <col min="10002" max="10002" width="11.77734375" style="491" customWidth="1"/>
    <col min="10003" max="10240" width="9" style="491"/>
    <col min="10241" max="10241" width="5.44140625" style="491" customWidth="1"/>
    <col min="10242" max="10242" width="21.33203125" style="491" customWidth="1"/>
    <col min="10243" max="10243" width="8.77734375" style="491" customWidth="1"/>
    <col min="10244" max="10244" width="8.44140625" style="491" customWidth="1"/>
    <col min="10245" max="10245" width="7.5546875" style="491" customWidth="1"/>
    <col min="10246" max="10246" width="9.77734375" style="491" customWidth="1"/>
    <col min="10247" max="10247" width="14.77734375" style="491" customWidth="1"/>
    <col min="10248" max="10248" width="12.44140625" style="491" customWidth="1"/>
    <col min="10249" max="10249" width="10" style="491" customWidth="1"/>
    <col min="10250" max="10250" width="9.33203125" style="491" customWidth="1"/>
    <col min="10251" max="10251" width="11.77734375" style="491" customWidth="1"/>
    <col min="10252" max="10252" width="16.77734375" style="491" customWidth="1"/>
    <col min="10253" max="10253" width="11.109375" style="491" customWidth="1"/>
    <col min="10254" max="10254" width="11.77734375" style="491" customWidth="1"/>
    <col min="10255" max="10256" width="9" style="491"/>
    <col min="10257" max="10257" width="11.109375" style="491" customWidth="1"/>
    <col min="10258" max="10258" width="11.77734375" style="491" customWidth="1"/>
    <col min="10259" max="10496" width="9" style="491"/>
    <col min="10497" max="10497" width="5.44140625" style="491" customWidth="1"/>
    <col min="10498" max="10498" width="21.33203125" style="491" customWidth="1"/>
    <col min="10499" max="10499" width="8.77734375" style="491" customWidth="1"/>
    <col min="10500" max="10500" width="8.44140625" style="491" customWidth="1"/>
    <col min="10501" max="10501" width="7.5546875" style="491" customWidth="1"/>
    <col min="10502" max="10502" width="9.77734375" style="491" customWidth="1"/>
    <col min="10503" max="10503" width="14.77734375" style="491" customWidth="1"/>
    <col min="10504" max="10504" width="12.44140625" style="491" customWidth="1"/>
    <col min="10505" max="10505" width="10" style="491" customWidth="1"/>
    <col min="10506" max="10506" width="9.33203125" style="491" customWidth="1"/>
    <col min="10507" max="10507" width="11.77734375" style="491" customWidth="1"/>
    <col min="10508" max="10508" width="16.77734375" style="491" customWidth="1"/>
    <col min="10509" max="10509" width="11.109375" style="491" customWidth="1"/>
    <col min="10510" max="10510" width="11.77734375" style="491" customWidth="1"/>
    <col min="10511" max="10512" width="9" style="491"/>
    <col min="10513" max="10513" width="11.109375" style="491" customWidth="1"/>
    <col min="10514" max="10514" width="11.77734375" style="491" customWidth="1"/>
    <col min="10515" max="10752" width="9" style="491"/>
    <col min="10753" max="10753" width="5.44140625" style="491" customWidth="1"/>
    <col min="10754" max="10754" width="21.33203125" style="491" customWidth="1"/>
    <col min="10755" max="10755" width="8.77734375" style="491" customWidth="1"/>
    <col min="10756" max="10756" width="8.44140625" style="491" customWidth="1"/>
    <col min="10757" max="10757" width="7.5546875" style="491" customWidth="1"/>
    <col min="10758" max="10758" width="9.77734375" style="491" customWidth="1"/>
    <col min="10759" max="10759" width="14.77734375" style="491" customWidth="1"/>
    <col min="10760" max="10760" width="12.44140625" style="491" customWidth="1"/>
    <col min="10761" max="10761" width="10" style="491" customWidth="1"/>
    <col min="10762" max="10762" width="9.33203125" style="491" customWidth="1"/>
    <col min="10763" max="10763" width="11.77734375" style="491" customWidth="1"/>
    <col min="10764" max="10764" width="16.77734375" style="491" customWidth="1"/>
    <col min="10765" max="10765" width="11.109375" style="491" customWidth="1"/>
    <col min="10766" max="10766" width="11.77734375" style="491" customWidth="1"/>
    <col min="10767" max="10768" width="9" style="491"/>
    <col min="10769" max="10769" width="11.109375" style="491" customWidth="1"/>
    <col min="10770" max="10770" width="11.77734375" style="491" customWidth="1"/>
    <col min="10771" max="11008" width="9" style="491"/>
    <col min="11009" max="11009" width="5.44140625" style="491" customWidth="1"/>
    <col min="11010" max="11010" width="21.33203125" style="491" customWidth="1"/>
    <col min="11011" max="11011" width="8.77734375" style="491" customWidth="1"/>
    <col min="11012" max="11012" width="8.44140625" style="491" customWidth="1"/>
    <col min="11013" max="11013" width="7.5546875" style="491" customWidth="1"/>
    <col min="11014" max="11014" width="9.77734375" style="491" customWidth="1"/>
    <col min="11015" max="11015" width="14.77734375" style="491" customWidth="1"/>
    <col min="11016" max="11016" width="12.44140625" style="491" customWidth="1"/>
    <col min="11017" max="11017" width="10" style="491" customWidth="1"/>
    <col min="11018" max="11018" width="9.33203125" style="491" customWidth="1"/>
    <col min="11019" max="11019" width="11.77734375" style="491" customWidth="1"/>
    <col min="11020" max="11020" width="16.77734375" style="491" customWidth="1"/>
    <col min="11021" max="11021" width="11.109375" style="491" customWidth="1"/>
    <col min="11022" max="11022" width="11.77734375" style="491" customWidth="1"/>
    <col min="11023" max="11024" width="9" style="491"/>
    <col min="11025" max="11025" width="11.109375" style="491" customWidth="1"/>
    <col min="11026" max="11026" width="11.77734375" style="491" customWidth="1"/>
    <col min="11027" max="11264" width="9" style="491"/>
    <col min="11265" max="11265" width="5.44140625" style="491" customWidth="1"/>
    <col min="11266" max="11266" width="21.33203125" style="491" customWidth="1"/>
    <col min="11267" max="11267" width="8.77734375" style="491" customWidth="1"/>
    <col min="11268" max="11268" width="8.44140625" style="491" customWidth="1"/>
    <col min="11269" max="11269" width="7.5546875" style="491" customWidth="1"/>
    <col min="11270" max="11270" width="9.77734375" style="491" customWidth="1"/>
    <col min="11271" max="11271" width="14.77734375" style="491" customWidth="1"/>
    <col min="11272" max="11272" width="12.44140625" style="491" customWidth="1"/>
    <col min="11273" max="11273" width="10" style="491" customWidth="1"/>
    <col min="11274" max="11274" width="9.33203125" style="491" customWidth="1"/>
    <col min="11275" max="11275" width="11.77734375" style="491" customWidth="1"/>
    <col min="11276" max="11276" width="16.77734375" style="491" customWidth="1"/>
    <col min="11277" max="11277" width="11.109375" style="491" customWidth="1"/>
    <col min="11278" max="11278" width="11.77734375" style="491" customWidth="1"/>
    <col min="11279" max="11280" width="9" style="491"/>
    <col min="11281" max="11281" width="11.109375" style="491" customWidth="1"/>
    <col min="11282" max="11282" width="11.77734375" style="491" customWidth="1"/>
    <col min="11283" max="11520" width="9" style="491"/>
    <col min="11521" max="11521" width="5.44140625" style="491" customWidth="1"/>
    <col min="11522" max="11522" width="21.33203125" style="491" customWidth="1"/>
    <col min="11523" max="11523" width="8.77734375" style="491" customWidth="1"/>
    <col min="11524" max="11524" width="8.44140625" style="491" customWidth="1"/>
    <col min="11525" max="11525" width="7.5546875" style="491" customWidth="1"/>
    <col min="11526" max="11526" width="9.77734375" style="491" customWidth="1"/>
    <col min="11527" max="11527" width="14.77734375" style="491" customWidth="1"/>
    <col min="11528" max="11528" width="12.44140625" style="491" customWidth="1"/>
    <col min="11529" max="11529" width="10" style="491" customWidth="1"/>
    <col min="11530" max="11530" width="9.33203125" style="491" customWidth="1"/>
    <col min="11531" max="11531" width="11.77734375" style="491" customWidth="1"/>
    <col min="11532" max="11532" width="16.77734375" style="491" customWidth="1"/>
    <col min="11533" max="11533" width="11.109375" style="491" customWidth="1"/>
    <col min="11534" max="11534" width="11.77734375" style="491" customWidth="1"/>
    <col min="11535" max="11536" width="9" style="491"/>
    <col min="11537" max="11537" width="11.109375" style="491" customWidth="1"/>
    <col min="11538" max="11538" width="11.77734375" style="491" customWidth="1"/>
    <col min="11539" max="11776" width="9" style="491"/>
    <col min="11777" max="11777" width="5.44140625" style="491" customWidth="1"/>
    <col min="11778" max="11778" width="21.33203125" style="491" customWidth="1"/>
    <col min="11779" max="11779" width="8.77734375" style="491" customWidth="1"/>
    <col min="11780" max="11780" width="8.44140625" style="491" customWidth="1"/>
    <col min="11781" max="11781" width="7.5546875" style="491" customWidth="1"/>
    <col min="11782" max="11782" width="9.77734375" style="491" customWidth="1"/>
    <col min="11783" max="11783" width="14.77734375" style="491" customWidth="1"/>
    <col min="11784" max="11784" width="12.44140625" style="491" customWidth="1"/>
    <col min="11785" max="11785" width="10" style="491" customWidth="1"/>
    <col min="11786" max="11786" width="9.33203125" style="491" customWidth="1"/>
    <col min="11787" max="11787" width="11.77734375" style="491" customWidth="1"/>
    <col min="11788" max="11788" width="16.77734375" style="491" customWidth="1"/>
    <col min="11789" max="11789" width="11.109375" style="491" customWidth="1"/>
    <col min="11790" max="11790" width="11.77734375" style="491" customWidth="1"/>
    <col min="11791" max="11792" width="9" style="491"/>
    <col min="11793" max="11793" width="11.109375" style="491" customWidth="1"/>
    <col min="11794" max="11794" width="11.77734375" style="491" customWidth="1"/>
    <col min="11795" max="12032" width="9" style="491"/>
    <col min="12033" max="12033" width="5.44140625" style="491" customWidth="1"/>
    <col min="12034" max="12034" width="21.33203125" style="491" customWidth="1"/>
    <col min="12035" max="12035" width="8.77734375" style="491" customWidth="1"/>
    <col min="12036" max="12036" width="8.44140625" style="491" customWidth="1"/>
    <col min="12037" max="12037" width="7.5546875" style="491" customWidth="1"/>
    <col min="12038" max="12038" width="9.77734375" style="491" customWidth="1"/>
    <col min="12039" max="12039" width="14.77734375" style="491" customWidth="1"/>
    <col min="12040" max="12040" width="12.44140625" style="491" customWidth="1"/>
    <col min="12041" max="12041" width="10" style="491" customWidth="1"/>
    <col min="12042" max="12042" width="9.33203125" style="491" customWidth="1"/>
    <col min="12043" max="12043" width="11.77734375" style="491" customWidth="1"/>
    <col min="12044" max="12044" width="16.77734375" style="491" customWidth="1"/>
    <col min="12045" max="12045" width="11.109375" style="491" customWidth="1"/>
    <col min="12046" max="12046" width="11.77734375" style="491" customWidth="1"/>
    <col min="12047" max="12048" width="9" style="491"/>
    <col min="12049" max="12049" width="11.109375" style="491" customWidth="1"/>
    <col min="12050" max="12050" width="11.77734375" style="491" customWidth="1"/>
    <col min="12051" max="12288" width="9" style="491"/>
    <col min="12289" max="12289" width="5.44140625" style="491" customWidth="1"/>
    <col min="12290" max="12290" width="21.33203125" style="491" customWidth="1"/>
    <col min="12291" max="12291" width="8.77734375" style="491" customWidth="1"/>
    <col min="12292" max="12292" width="8.44140625" style="491" customWidth="1"/>
    <col min="12293" max="12293" width="7.5546875" style="491" customWidth="1"/>
    <col min="12294" max="12294" width="9.77734375" style="491" customWidth="1"/>
    <col min="12295" max="12295" width="14.77734375" style="491" customWidth="1"/>
    <col min="12296" max="12296" width="12.44140625" style="491" customWidth="1"/>
    <col min="12297" max="12297" width="10" style="491" customWidth="1"/>
    <col min="12298" max="12298" width="9.33203125" style="491" customWidth="1"/>
    <col min="12299" max="12299" width="11.77734375" style="491" customWidth="1"/>
    <col min="12300" max="12300" width="16.77734375" style="491" customWidth="1"/>
    <col min="12301" max="12301" width="11.109375" style="491" customWidth="1"/>
    <col min="12302" max="12302" width="11.77734375" style="491" customWidth="1"/>
    <col min="12303" max="12304" width="9" style="491"/>
    <col min="12305" max="12305" width="11.109375" style="491" customWidth="1"/>
    <col min="12306" max="12306" width="11.77734375" style="491" customWidth="1"/>
    <col min="12307" max="12544" width="9" style="491"/>
    <col min="12545" max="12545" width="5.44140625" style="491" customWidth="1"/>
    <col min="12546" max="12546" width="21.33203125" style="491" customWidth="1"/>
    <col min="12547" max="12547" width="8.77734375" style="491" customWidth="1"/>
    <col min="12548" max="12548" width="8.44140625" style="491" customWidth="1"/>
    <col min="12549" max="12549" width="7.5546875" style="491" customWidth="1"/>
    <col min="12550" max="12550" width="9.77734375" style="491" customWidth="1"/>
    <col min="12551" max="12551" width="14.77734375" style="491" customWidth="1"/>
    <col min="12552" max="12552" width="12.44140625" style="491" customWidth="1"/>
    <col min="12553" max="12553" width="10" style="491" customWidth="1"/>
    <col min="12554" max="12554" width="9.33203125" style="491" customWidth="1"/>
    <col min="12555" max="12555" width="11.77734375" style="491" customWidth="1"/>
    <col min="12556" max="12556" width="16.77734375" style="491" customWidth="1"/>
    <col min="12557" max="12557" width="11.109375" style="491" customWidth="1"/>
    <col min="12558" max="12558" width="11.77734375" style="491" customWidth="1"/>
    <col min="12559" max="12560" width="9" style="491"/>
    <col min="12561" max="12561" width="11.109375" style="491" customWidth="1"/>
    <col min="12562" max="12562" width="11.77734375" style="491" customWidth="1"/>
    <col min="12563" max="12800" width="9" style="491"/>
    <col min="12801" max="12801" width="5.44140625" style="491" customWidth="1"/>
    <col min="12802" max="12802" width="21.33203125" style="491" customWidth="1"/>
    <col min="12803" max="12803" width="8.77734375" style="491" customWidth="1"/>
    <col min="12804" max="12804" width="8.44140625" style="491" customWidth="1"/>
    <col min="12805" max="12805" width="7.5546875" style="491" customWidth="1"/>
    <col min="12806" max="12806" width="9.77734375" style="491" customWidth="1"/>
    <col min="12807" max="12807" width="14.77734375" style="491" customWidth="1"/>
    <col min="12808" max="12808" width="12.44140625" style="491" customWidth="1"/>
    <col min="12809" max="12809" width="10" style="491" customWidth="1"/>
    <col min="12810" max="12810" width="9.33203125" style="491" customWidth="1"/>
    <col min="12811" max="12811" width="11.77734375" style="491" customWidth="1"/>
    <col min="12812" max="12812" width="16.77734375" style="491" customWidth="1"/>
    <col min="12813" max="12813" width="11.109375" style="491" customWidth="1"/>
    <col min="12814" max="12814" width="11.77734375" style="491" customWidth="1"/>
    <col min="12815" max="12816" width="9" style="491"/>
    <col min="12817" max="12817" width="11.109375" style="491" customWidth="1"/>
    <col min="12818" max="12818" width="11.77734375" style="491" customWidth="1"/>
    <col min="12819" max="13056" width="9" style="491"/>
    <col min="13057" max="13057" width="5.44140625" style="491" customWidth="1"/>
    <col min="13058" max="13058" width="21.33203125" style="491" customWidth="1"/>
    <col min="13059" max="13059" width="8.77734375" style="491" customWidth="1"/>
    <col min="13060" max="13060" width="8.44140625" style="491" customWidth="1"/>
    <col min="13061" max="13061" width="7.5546875" style="491" customWidth="1"/>
    <col min="13062" max="13062" width="9.77734375" style="491" customWidth="1"/>
    <col min="13063" max="13063" width="14.77734375" style="491" customWidth="1"/>
    <col min="13064" max="13064" width="12.44140625" style="491" customWidth="1"/>
    <col min="13065" max="13065" width="10" style="491" customWidth="1"/>
    <col min="13066" max="13066" width="9.33203125" style="491" customWidth="1"/>
    <col min="13067" max="13067" width="11.77734375" style="491" customWidth="1"/>
    <col min="13068" max="13068" width="16.77734375" style="491" customWidth="1"/>
    <col min="13069" max="13069" width="11.109375" style="491" customWidth="1"/>
    <col min="13070" max="13070" width="11.77734375" style="491" customWidth="1"/>
    <col min="13071" max="13072" width="9" style="491"/>
    <col min="13073" max="13073" width="11.109375" style="491" customWidth="1"/>
    <col min="13074" max="13074" width="11.77734375" style="491" customWidth="1"/>
    <col min="13075" max="13312" width="9" style="491"/>
    <col min="13313" max="13313" width="5.44140625" style="491" customWidth="1"/>
    <col min="13314" max="13314" width="21.33203125" style="491" customWidth="1"/>
    <col min="13315" max="13315" width="8.77734375" style="491" customWidth="1"/>
    <col min="13316" max="13316" width="8.44140625" style="491" customWidth="1"/>
    <col min="13317" max="13317" width="7.5546875" style="491" customWidth="1"/>
    <col min="13318" max="13318" width="9.77734375" style="491" customWidth="1"/>
    <col min="13319" max="13319" width="14.77734375" style="491" customWidth="1"/>
    <col min="13320" max="13320" width="12.44140625" style="491" customWidth="1"/>
    <col min="13321" max="13321" width="10" style="491" customWidth="1"/>
    <col min="13322" max="13322" width="9.33203125" style="491" customWidth="1"/>
    <col min="13323" max="13323" width="11.77734375" style="491" customWidth="1"/>
    <col min="13324" max="13324" width="16.77734375" style="491" customWidth="1"/>
    <col min="13325" max="13325" width="11.109375" style="491" customWidth="1"/>
    <col min="13326" max="13326" width="11.77734375" style="491" customWidth="1"/>
    <col min="13327" max="13328" width="9" style="491"/>
    <col min="13329" max="13329" width="11.109375" style="491" customWidth="1"/>
    <col min="13330" max="13330" width="11.77734375" style="491" customWidth="1"/>
    <col min="13331" max="13568" width="9" style="491"/>
    <col min="13569" max="13569" width="5.44140625" style="491" customWidth="1"/>
    <col min="13570" max="13570" width="21.33203125" style="491" customWidth="1"/>
    <col min="13571" max="13571" width="8.77734375" style="491" customWidth="1"/>
    <col min="13572" max="13572" width="8.44140625" style="491" customWidth="1"/>
    <col min="13573" max="13573" width="7.5546875" style="491" customWidth="1"/>
    <col min="13574" max="13574" width="9.77734375" style="491" customWidth="1"/>
    <col min="13575" max="13575" width="14.77734375" style="491" customWidth="1"/>
    <col min="13576" max="13576" width="12.44140625" style="491" customWidth="1"/>
    <col min="13577" max="13577" width="10" style="491" customWidth="1"/>
    <col min="13578" max="13578" width="9.33203125" style="491" customWidth="1"/>
    <col min="13579" max="13579" width="11.77734375" style="491" customWidth="1"/>
    <col min="13580" max="13580" width="16.77734375" style="491" customWidth="1"/>
    <col min="13581" max="13581" width="11.109375" style="491" customWidth="1"/>
    <col min="13582" max="13582" width="11.77734375" style="491" customWidth="1"/>
    <col min="13583" max="13584" width="9" style="491"/>
    <col min="13585" max="13585" width="11.109375" style="491" customWidth="1"/>
    <col min="13586" max="13586" width="11.77734375" style="491" customWidth="1"/>
    <col min="13587" max="13824" width="9" style="491"/>
    <col min="13825" max="13825" width="5.44140625" style="491" customWidth="1"/>
    <col min="13826" max="13826" width="21.33203125" style="491" customWidth="1"/>
    <col min="13827" max="13827" width="8.77734375" style="491" customWidth="1"/>
    <col min="13828" max="13828" width="8.44140625" style="491" customWidth="1"/>
    <col min="13829" max="13829" width="7.5546875" style="491" customWidth="1"/>
    <col min="13830" max="13830" width="9.77734375" style="491" customWidth="1"/>
    <col min="13831" max="13831" width="14.77734375" style="491" customWidth="1"/>
    <col min="13832" max="13832" width="12.44140625" style="491" customWidth="1"/>
    <col min="13833" max="13833" width="10" style="491" customWidth="1"/>
    <col min="13834" max="13834" width="9.33203125" style="491" customWidth="1"/>
    <col min="13835" max="13835" width="11.77734375" style="491" customWidth="1"/>
    <col min="13836" max="13836" width="16.77734375" style="491" customWidth="1"/>
    <col min="13837" max="13837" width="11.109375" style="491" customWidth="1"/>
    <col min="13838" max="13838" width="11.77734375" style="491" customWidth="1"/>
    <col min="13839" max="13840" width="9" style="491"/>
    <col min="13841" max="13841" width="11.109375" style="491" customWidth="1"/>
    <col min="13842" max="13842" width="11.77734375" style="491" customWidth="1"/>
    <col min="13843" max="14080" width="9" style="491"/>
    <col min="14081" max="14081" width="5.44140625" style="491" customWidth="1"/>
    <col min="14082" max="14082" width="21.33203125" style="491" customWidth="1"/>
    <col min="14083" max="14083" width="8.77734375" style="491" customWidth="1"/>
    <col min="14084" max="14084" width="8.44140625" style="491" customWidth="1"/>
    <col min="14085" max="14085" width="7.5546875" style="491" customWidth="1"/>
    <col min="14086" max="14086" width="9.77734375" style="491" customWidth="1"/>
    <col min="14087" max="14087" width="14.77734375" style="491" customWidth="1"/>
    <col min="14088" max="14088" width="12.44140625" style="491" customWidth="1"/>
    <col min="14089" max="14089" width="10" style="491" customWidth="1"/>
    <col min="14090" max="14090" width="9.33203125" style="491" customWidth="1"/>
    <col min="14091" max="14091" width="11.77734375" style="491" customWidth="1"/>
    <col min="14092" max="14092" width="16.77734375" style="491" customWidth="1"/>
    <col min="14093" max="14093" width="11.109375" style="491" customWidth="1"/>
    <col min="14094" max="14094" width="11.77734375" style="491" customWidth="1"/>
    <col min="14095" max="14096" width="9" style="491"/>
    <col min="14097" max="14097" width="11.109375" style="491" customWidth="1"/>
    <col min="14098" max="14098" width="11.77734375" style="491" customWidth="1"/>
    <col min="14099" max="14336" width="9" style="491"/>
    <col min="14337" max="14337" width="5.44140625" style="491" customWidth="1"/>
    <col min="14338" max="14338" width="21.33203125" style="491" customWidth="1"/>
    <col min="14339" max="14339" width="8.77734375" style="491" customWidth="1"/>
    <col min="14340" max="14340" width="8.44140625" style="491" customWidth="1"/>
    <col min="14341" max="14341" width="7.5546875" style="491" customWidth="1"/>
    <col min="14342" max="14342" width="9.77734375" style="491" customWidth="1"/>
    <col min="14343" max="14343" width="14.77734375" style="491" customWidth="1"/>
    <col min="14344" max="14344" width="12.44140625" style="491" customWidth="1"/>
    <col min="14345" max="14345" width="10" style="491" customWidth="1"/>
    <col min="14346" max="14346" width="9.33203125" style="491" customWidth="1"/>
    <col min="14347" max="14347" width="11.77734375" style="491" customWidth="1"/>
    <col min="14348" max="14348" width="16.77734375" style="491" customWidth="1"/>
    <col min="14349" max="14349" width="11.109375" style="491" customWidth="1"/>
    <col min="14350" max="14350" width="11.77734375" style="491" customWidth="1"/>
    <col min="14351" max="14352" width="9" style="491"/>
    <col min="14353" max="14353" width="11.109375" style="491" customWidth="1"/>
    <col min="14354" max="14354" width="11.77734375" style="491" customWidth="1"/>
    <col min="14355" max="14592" width="9" style="491"/>
    <col min="14593" max="14593" width="5.44140625" style="491" customWidth="1"/>
    <col min="14594" max="14594" width="21.33203125" style="491" customWidth="1"/>
    <col min="14595" max="14595" width="8.77734375" style="491" customWidth="1"/>
    <col min="14596" max="14596" width="8.44140625" style="491" customWidth="1"/>
    <col min="14597" max="14597" width="7.5546875" style="491" customWidth="1"/>
    <col min="14598" max="14598" width="9.77734375" style="491" customWidth="1"/>
    <col min="14599" max="14599" width="14.77734375" style="491" customWidth="1"/>
    <col min="14600" max="14600" width="12.44140625" style="491" customWidth="1"/>
    <col min="14601" max="14601" width="10" style="491" customWidth="1"/>
    <col min="14602" max="14602" width="9.33203125" style="491" customWidth="1"/>
    <col min="14603" max="14603" width="11.77734375" style="491" customWidth="1"/>
    <col min="14604" max="14604" width="16.77734375" style="491" customWidth="1"/>
    <col min="14605" max="14605" width="11.109375" style="491" customWidth="1"/>
    <col min="14606" max="14606" width="11.77734375" style="491" customWidth="1"/>
    <col min="14607" max="14608" width="9" style="491"/>
    <col min="14609" max="14609" width="11.109375" style="491" customWidth="1"/>
    <col min="14610" max="14610" width="11.77734375" style="491" customWidth="1"/>
    <col min="14611" max="14848" width="9" style="491"/>
    <col min="14849" max="14849" width="5.44140625" style="491" customWidth="1"/>
    <col min="14850" max="14850" width="21.33203125" style="491" customWidth="1"/>
    <col min="14851" max="14851" width="8.77734375" style="491" customWidth="1"/>
    <col min="14852" max="14852" width="8.44140625" style="491" customWidth="1"/>
    <col min="14853" max="14853" width="7.5546875" style="491" customWidth="1"/>
    <col min="14854" max="14854" width="9.77734375" style="491" customWidth="1"/>
    <col min="14855" max="14855" width="14.77734375" style="491" customWidth="1"/>
    <col min="14856" max="14856" width="12.44140625" style="491" customWidth="1"/>
    <col min="14857" max="14857" width="10" style="491" customWidth="1"/>
    <col min="14858" max="14858" width="9.33203125" style="491" customWidth="1"/>
    <col min="14859" max="14859" width="11.77734375" style="491" customWidth="1"/>
    <col min="14860" max="14860" width="16.77734375" style="491" customWidth="1"/>
    <col min="14861" max="14861" width="11.109375" style="491" customWidth="1"/>
    <col min="14862" max="14862" width="11.77734375" style="491" customWidth="1"/>
    <col min="14863" max="14864" width="9" style="491"/>
    <col min="14865" max="14865" width="11.109375" style="491" customWidth="1"/>
    <col min="14866" max="14866" width="11.77734375" style="491" customWidth="1"/>
    <col min="14867" max="15104" width="9" style="491"/>
    <col min="15105" max="15105" width="5.44140625" style="491" customWidth="1"/>
    <col min="15106" max="15106" width="21.33203125" style="491" customWidth="1"/>
    <col min="15107" max="15107" width="8.77734375" style="491" customWidth="1"/>
    <col min="15108" max="15108" width="8.44140625" style="491" customWidth="1"/>
    <col min="15109" max="15109" width="7.5546875" style="491" customWidth="1"/>
    <col min="15110" max="15110" width="9.77734375" style="491" customWidth="1"/>
    <col min="15111" max="15111" width="14.77734375" style="491" customWidth="1"/>
    <col min="15112" max="15112" width="12.44140625" style="491" customWidth="1"/>
    <col min="15113" max="15113" width="10" style="491" customWidth="1"/>
    <col min="15114" max="15114" width="9.33203125" style="491" customWidth="1"/>
    <col min="15115" max="15115" width="11.77734375" style="491" customWidth="1"/>
    <col min="15116" max="15116" width="16.77734375" style="491" customWidth="1"/>
    <col min="15117" max="15117" width="11.109375" style="491" customWidth="1"/>
    <col min="15118" max="15118" width="11.77734375" style="491" customWidth="1"/>
    <col min="15119" max="15120" width="9" style="491"/>
    <col min="15121" max="15121" width="11.109375" style="491" customWidth="1"/>
    <col min="15122" max="15122" width="11.77734375" style="491" customWidth="1"/>
    <col min="15123" max="15360" width="9" style="491"/>
    <col min="15361" max="15361" width="5.44140625" style="491" customWidth="1"/>
    <col min="15362" max="15362" width="21.33203125" style="491" customWidth="1"/>
    <col min="15363" max="15363" width="8.77734375" style="491" customWidth="1"/>
    <col min="15364" max="15364" width="8.44140625" style="491" customWidth="1"/>
    <col min="15365" max="15365" width="7.5546875" style="491" customWidth="1"/>
    <col min="15366" max="15366" width="9.77734375" style="491" customWidth="1"/>
    <col min="15367" max="15367" width="14.77734375" style="491" customWidth="1"/>
    <col min="15368" max="15368" width="12.44140625" style="491" customWidth="1"/>
    <col min="15369" max="15369" width="10" style="491" customWidth="1"/>
    <col min="15370" max="15370" width="9.33203125" style="491" customWidth="1"/>
    <col min="15371" max="15371" width="11.77734375" style="491" customWidth="1"/>
    <col min="15372" max="15372" width="16.77734375" style="491" customWidth="1"/>
    <col min="15373" max="15373" width="11.109375" style="491" customWidth="1"/>
    <col min="15374" max="15374" width="11.77734375" style="491" customWidth="1"/>
    <col min="15375" max="15376" width="9" style="491"/>
    <col min="15377" max="15377" width="11.109375" style="491" customWidth="1"/>
    <col min="15378" max="15378" width="11.77734375" style="491" customWidth="1"/>
    <col min="15379" max="15616" width="9" style="491"/>
    <col min="15617" max="15617" width="5.44140625" style="491" customWidth="1"/>
    <col min="15618" max="15618" width="21.33203125" style="491" customWidth="1"/>
    <col min="15619" max="15619" width="8.77734375" style="491" customWidth="1"/>
    <col min="15620" max="15620" width="8.44140625" style="491" customWidth="1"/>
    <col min="15621" max="15621" width="7.5546875" style="491" customWidth="1"/>
    <col min="15622" max="15622" width="9.77734375" style="491" customWidth="1"/>
    <col min="15623" max="15623" width="14.77734375" style="491" customWidth="1"/>
    <col min="15624" max="15624" width="12.44140625" style="491" customWidth="1"/>
    <col min="15625" max="15625" width="10" style="491" customWidth="1"/>
    <col min="15626" max="15626" width="9.33203125" style="491" customWidth="1"/>
    <col min="15627" max="15627" width="11.77734375" style="491" customWidth="1"/>
    <col min="15628" max="15628" width="16.77734375" style="491" customWidth="1"/>
    <col min="15629" max="15629" width="11.109375" style="491" customWidth="1"/>
    <col min="15630" max="15630" width="11.77734375" style="491" customWidth="1"/>
    <col min="15631" max="15632" width="9" style="491"/>
    <col min="15633" max="15633" width="11.109375" style="491" customWidth="1"/>
    <col min="15634" max="15634" width="11.77734375" style="491" customWidth="1"/>
    <col min="15635" max="15872" width="9" style="491"/>
    <col min="15873" max="15873" width="5.44140625" style="491" customWidth="1"/>
    <col min="15874" max="15874" width="21.33203125" style="491" customWidth="1"/>
    <col min="15875" max="15875" width="8.77734375" style="491" customWidth="1"/>
    <col min="15876" max="15876" width="8.44140625" style="491" customWidth="1"/>
    <col min="15877" max="15877" width="7.5546875" style="491" customWidth="1"/>
    <col min="15878" max="15878" width="9.77734375" style="491" customWidth="1"/>
    <col min="15879" max="15879" width="14.77734375" style="491" customWidth="1"/>
    <col min="15880" max="15880" width="12.44140625" style="491" customWidth="1"/>
    <col min="15881" max="15881" width="10" style="491" customWidth="1"/>
    <col min="15882" max="15882" width="9.33203125" style="491" customWidth="1"/>
    <col min="15883" max="15883" width="11.77734375" style="491" customWidth="1"/>
    <col min="15884" max="15884" width="16.77734375" style="491" customWidth="1"/>
    <col min="15885" max="15885" width="11.109375" style="491" customWidth="1"/>
    <col min="15886" max="15886" width="11.77734375" style="491" customWidth="1"/>
    <col min="15887" max="15888" width="9" style="491"/>
    <col min="15889" max="15889" width="11.109375" style="491" customWidth="1"/>
    <col min="15890" max="15890" width="11.77734375" style="491" customWidth="1"/>
    <col min="15891" max="16128" width="9" style="491"/>
    <col min="16129" max="16129" width="5.44140625" style="491" customWidth="1"/>
    <col min="16130" max="16130" width="21.33203125" style="491" customWidth="1"/>
    <col min="16131" max="16131" width="8.77734375" style="491" customWidth="1"/>
    <col min="16132" max="16132" width="8.44140625" style="491" customWidth="1"/>
    <col min="16133" max="16133" width="7.5546875" style="491" customWidth="1"/>
    <col min="16134" max="16134" width="9.77734375" style="491" customWidth="1"/>
    <col min="16135" max="16135" width="14.77734375" style="491" customWidth="1"/>
    <col min="16136" max="16136" width="12.44140625" style="491" customWidth="1"/>
    <col min="16137" max="16137" width="10" style="491" customWidth="1"/>
    <col min="16138" max="16138" width="9.33203125" style="491" customWidth="1"/>
    <col min="16139" max="16139" width="11.77734375" style="491" customWidth="1"/>
    <col min="16140" max="16140" width="16.77734375" style="491" customWidth="1"/>
    <col min="16141" max="16141" width="11.109375" style="491" customWidth="1"/>
    <col min="16142" max="16142" width="11.77734375" style="491" customWidth="1"/>
    <col min="16143" max="16144" width="9" style="491"/>
    <col min="16145" max="16145" width="11.109375" style="491" customWidth="1"/>
    <col min="16146" max="16146" width="11.77734375" style="491" customWidth="1"/>
    <col min="16147" max="16384" width="9" style="491"/>
  </cols>
  <sheetData>
    <row r="1" spans="1:13" ht="14.25">
      <c r="A1" s="997" t="s">
        <v>49</v>
      </c>
      <c r="B1" s="997"/>
      <c r="L1" s="492"/>
    </row>
    <row r="2" spans="1:13" ht="15.75">
      <c r="A2" s="1003" t="s">
        <v>38</v>
      </c>
      <c r="B2" s="1003"/>
      <c r="L2" s="493"/>
    </row>
    <row r="3" spans="1:13" ht="15.75">
      <c r="A3" s="516"/>
      <c r="B3" s="516"/>
      <c r="L3" s="493"/>
    </row>
    <row r="4" spans="1:13" ht="34.5" customHeight="1">
      <c r="A4" s="1004" t="s">
        <v>119</v>
      </c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  <c r="M4" s="1004"/>
    </row>
    <row r="5" spans="1:13" ht="15.75" customHeight="1">
      <c r="A5" s="845" t="s">
        <v>160</v>
      </c>
      <c r="B5" s="845"/>
      <c r="C5" s="845"/>
      <c r="D5" s="845"/>
      <c r="E5" s="845"/>
      <c r="F5" s="845"/>
      <c r="G5" s="845"/>
      <c r="H5" s="845"/>
      <c r="I5" s="845"/>
      <c r="J5" s="845"/>
      <c r="K5" s="845"/>
      <c r="L5" s="845"/>
      <c r="M5" s="845"/>
    </row>
    <row r="6" spans="1:13" s="495" customFormat="1" ht="15.75">
      <c r="A6" s="494"/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</row>
    <row r="7" spans="1:13" s="495" customFormat="1" ht="15.75">
      <c r="G7" s="496"/>
      <c r="I7" s="998" t="s">
        <v>45</v>
      </c>
      <c r="J7" s="998"/>
      <c r="K7" s="998"/>
      <c r="L7" s="998"/>
    </row>
    <row r="8" spans="1:13" s="497" customFormat="1" ht="25.5" customHeight="1">
      <c r="A8" s="999" t="s">
        <v>108</v>
      </c>
      <c r="B8" s="999" t="s">
        <v>109</v>
      </c>
      <c r="C8" s="1000" t="s">
        <v>174</v>
      </c>
      <c r="D8" s="1001"/>
      <c r="E8" s="1001"/>
      <c r="F8" s="1001"/>
      <c r="G8" s="1002"/>
      <c r="H8" s="1000" t="s">
        <v>175</v>
      </c>
      <c r="I8" s="1001"/>
      <c r="J8" s="1001"/>
      <c r="K8" s="1001"/>
      <c r="L8" s="1002"/>
      <c r="M8" s="1005" t="s">
        <v>178</v>
      </c>
    </row>
    <row r="9" spans="1:13" s="498" customFormat="1" ht="43.5" customHeight="1">
      <c r="A9" s="999"/>
      <c r="B9" s="999"/>
      <c r="C9" s="1008" t="s">
        <v>110</v>
      </c>
      <c r="D9" s="1009"/>
      <c r="E9" s="1010"/>
      <c r="F9" s="1005" t="s">
        <v>111</v>
      </c>
      <c r="G9" s="1005" t="s">
        <v>121</v>
      </c>
      <c r="H9" s="1008" t="s">
        <v>110</v>
      </c>
      <c r="I9" s="1011"/>
      <c r="J9" s="1012"/>
      <c r="K9" s="1013" t="s">
        <v>111</v>
      </c>
      <c r="L9" s="1005" t="s">
        <v>112</v>
      </c>
      <c r="M9" s="1006"/>
    </row>
    <row r="10" spans="1:13" s="498" customFormat="1" ht="47.25" customHeight="1">
      <c r="A10" s="999"/>
      <c r="B10" s="999"/>
      <c r="C10" s="499" t="s">
        <v>106</v>
      </c>
      <c r="D10" s="500" t="s">
        <v>113</v>
      </c>
      <c r="E10" s="500" t="s">
        <v>114</v>
      </c>
      <c r="F10" s="1007"/>
      <c r="G10" s="1007"/>
      <c r="H10" s="499" t="s">
        <v>106</v>
      </c>
      <c r="I10" s="500" t="s">
        <v>113</v>
      </c>
      <c r="J10" s="500" t="s">
        <v>114</v>
      </c>
      <c r="K10" s="1013"/>
      <c r="L10" s="1007"/>
      <c r="M10" s="1007"/>
    </row>
    <row r="11" spans="1:13" s="501" customFormat="1" ht="33" customHeight="1">
      <c r="A11" s="500" t="s">
        <v>16</v>
      </c>
      <c r="B11" s="500" t="s">
        <v>17</v>
      </c>
      <c r="C11" s="500">
        <v>1</v>
      </c>
      <c r="D11" s="500">
        <v>2</v>
      </c>
      <c r="E11" s="500">
        <v>3</v>
      </c>
      <c r="F11" s="500">
        <v>4</v>
      </c>
      <c r="G11" s="500" t="s">
        <v>176</v>
      </c>
      <c r="H11" s="351">
        <v>6</v>
      </c>
      <c r="I11" s="351">
        <v>7</v>
      </c>
      <c r="J11" s="351">
        <v>8</v>
      </c>
      <c r="K11" s="351">
        <v>9</v>
      </c>
      <c r="L11" s="351" t="s">
        <v>177</v>
      </c>
      <c r="M11" s="351" t="s">
        <v>115</v>
      </c>
    </row>
    <row r="12" spans="1:13" s="504" customFormat="1" ht="15.75">
      <c r="A12" s="502"/>
      <c r="B12" s="502" t="s">
        <v>13</v>
      </c>
      <c r="C12" s="503"/>
      <c r="D12" s="503"/>
      <c r="E12" s="503"/>
      <c r="F12" s="503"/>
      <c r="G12" s="503"/>
      <c r="H12" s="503"/>
      <c r="I12" s="503"/>
      <c r="J12" s="503"/>
      <c r="K12" s="503"/>
      <c r="L12" s="503"/>
      <c r="M12" s="503"/>
    </row>
    <row r="13" spans="1:13" s="504" customFormat="1" ht="15.75">
      <c r="A13" s="502"/>
      <c r="B13" s="505"/>
      <c r="C13" s="502"/>
      <c r="D13" s="502"/>
      <c r="E13" s="502"/>
      <c r="F13" s="502"/>
      <c r="G13" s="502"/>
      <c r="H13" s="506"/>
      <c r="I13" s="506"/>
      <c r="J13" s="506"/>
      <c r="K13" s="506"/>
      <c r="L13" s="506"/>
      <c r="M13" s="506"/>
    </row>
    <row r="14" spans="1:13" s="501" customFormat="1" ht="15.75">
      <c r="A14" s="507"/>
      <c r="B14" s="477"/>
      <c r="C14" s="464"/>
      <c r="D14" s="464"/>
      <c r="E14" s="464"/>
      <c r="F14" s="464"/>
      <c r="G14" s="464"/>
      <c r="H14" s="508"/>
      <c r="I14" s="508"/>
      <c r="J14" s="508"/>
      <c r="K14" s="508"/>
      <c r="L14" s="508"/>
      <c r="M14" s="509"/>
    </row>
    <row r="15" spans="1:13" s="501" customFormat="1" ht="15.75">
      <c r="A15" s="510"/>
      <c r="B15" s="477"/>
      <c r="C15" s="464"/>
      <c r="D15" s="464"/>
      <c r="E15" s="464"/>
      <c r="F15" s="464"/>
      <c r="G15" s="464"/>
      <c r="H15" s="508"/>
      <c r="I15" s="508"/>
      <c r="J15" s="508"/>
      <c r="K15" s="508"/>
      <c r="L15" s="508"/>
      <c r="M15" s="509"/>
    </row>
    <row r="16" spans="1:13" s="501" customFormat="1" ht="15.75">
      <c r="A16" s="507"/>
      <c r="B16" s="477"/>
      <c r="C16" s="464"/>
      <c r="D16" s="464"/>
      <c r="E16" s="464"/>
      <c r="F16" s="464"/>
      <c r="G16" s="464"/>
      <c r="H16" s="508"/>
      <c r="I16" s="508"/>
      <c r="J16" s="508"/>
      <c r="K16" s="508"/>
      <c r="L16" s="508"/>
      <c r="M16" s="509"/>
    </row>
    <row r="17" spans="1:13" s="501" customFormat="1" ht="15.75">
      <c r="A17" s="510"/>
      <c r="B17" s="477"/>
      <c r="C17" s="464"/>
      <c r="D17" s="464"/>
      <c r="E17" s="464"/>
      <c r="F17" s="464"/>
      <c r="G17" s="464"/>
      <c r="H17" s="508"/>
      <c r="I17" s="508"/>
      <c r="J17" s="508"/>
      <c r="K17" s="508"/>
      <c r="L17" s="508"/>
      <c r="M17" s="509"/>
    </row>
    <row r="18" spans="1:13" s="501" customFormat="1" ht="15.75">
      <c r="A18" s="507"/>
      <c r="B18" s="477"/>
      <c r="C18" s="464"/>
      <c r="D18" s="464"/>
      <c r="E18" s="464"/>
      <c r="F18" s="464"/>
      <c r="G18" s="464"/>
      <c r="H18" s="508"/>
      <c r="I18" s="508"/>
      <c r="J18" s="508"/>
      <c r="K18" s="508"/>
      <c r="L18" s="508"/>
      <c r="M18" s="509"/>
    </row>
    <row r="19" spans="1:13" s="501" customFormat="1" ht="15.75">
      <c r="A19" s="510"/>
      <c r="B19" s="477"/>
      <c r="C19" s="464"/>
      <c r="D19" s="464"/>
      <c r="E19" s="464"/>
      <c r="F19" s="464"/>
      <c r="G19" s="464"/>
      <c r="H19" s="508"/>
      <c r="I19" s="508"/>
      <c r="J19" s="508"/>
      <c r="K19" s="508"/>
      <c r="L19" s="508"/>
      <c r="M19" s="509"/>
    </row>
    <row r="20" spans="1:13" s="501" customFormat="1" ht="15.75">
      <c r="A20" s="507"/>
      <c r="B20" s="477"/>
      <c r="C20" s="464"/>
      <c r="D20" s="464"/>
      <c r="E20" s="464"/>
      <c r="F20" s="464"/>
      <c r="G20" s="464"/>
      <c r="H20" s="508"/>
      <c r="I20" s="508"/>
      <c r="J20" s="508"/>
      <c r="K20" s="508"/>
      <c r="L20" s="508"/>
      <c r="M20" s="509"/>
    </row>
    <row r="26" spans="1:13" ht="15.75">
      <c r="A26" s="511"/>
      <c r="B26" s="512"/>
    </row>
  </sheetData>
  <mergeCells count="16">
    <mergeCell ref="A5:M5"/>
    <mergeCell ref="A1:B1"/>
    <mergeCell ref="I7:L7"/>
    <mergeCell ref="A8:A10"/>
    <mergeCell ref="B8:B10"/>
    <mergeCell ref="C8:G8"/>
    <mergeCell ref="H8:L8"/>
    <mergeCell ref="A2:B2"/>
    <mergeCell ref="A4:M4"/>
    <mergeCell ref="M8:M10"/>
    <mergeCell ref="C9:E9"/>
    <mergeCell ref="F9:F10"/>
    <mergeCell ref="G9:G10"/>
    <mergeCell ref="H9:J9"/>
    <mergeCell ref="K9:K10"/>
    <mergeCell ref="L9:L10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D9" sqref="D9:D11"/>
    </sheetView>
  </sheetViews>
  <sheetFormatPr defaultRowHeight="15"/>
  <cols>
    <col min="1" max="1" width="4.5546875" style="445" customWidth="1"/>
    <col min="2" max="2" width="30.5546875" style="445" customWidth="1"/>
    <col min="3" max="3" width="12.44140625" style="445" customWidth="1"/>
    <col min="4" max="4" width="12" style="445" customWidth="1"/>
    <col min="5" max="5" width="13.109375" style="445" customWidth="1"/>
    <col min="6" max="6" width="14.77734375" style="445" customWidth="1"/>
    <col min="7" max="256" width="9" style="445"/>
    <col min="257" max="257" width="4.5546875" style="445" customWidth="1"/>
    <col min="258" max="258" width="30.5546875" style="445" customWidth="1"/>
    <col min="259" max="259" width="12.44140625" style="445" customWidth="1"/>
    <col min="260" max="260" width="12" style="445" customWidth="1"/>
    <col min="261" max="261" width="13.109375" style="445" customWidth="1"/>
    <col min="262" max="262" width="14.77734375" style="445" customWidth="1"/>
    <col min="263" max="512" width="9" style="445"/>
    <col min="513" max="513" width="4.5546875" style="445" customWidth="1"/>
    <col min="514" max="514" width="30.5546875" style="445" customWidth="1"/>
    <col min="515" max="515" width="12.44140625" style="445" customWidth="1"/>
    <col min="516" max="516" width="12" style="445" customWidth="1"/>
    <col min="517" max="517" width="13.109375" style="445" customWidth="1"/>
    <col min="518" max="518" width="14.77734375" style="445" customWidth="1"/>
    <col min="519" max="768" width="9" style="445"/>
    <col min="769" max="769" width="4.5546875" style="445" customWidth="1"/>
    <col min="770" max="770" width="30.5546875" style="445" customWidth="1"/>
    <col min="771" max="771" width="12.44140625" style="445" customWidth="1"/>
    <col min="772" max="772" width="12" style="445" customWidth="1"/>
    <col min="773" max="773" width="13.109375" style="445" customWidth="1"/>
    <col min="774" max="774" width="14.77734375" style="445" customWidth="1"/>
    <col min="775" max="1024" width="9" style="445"/>
    <col min="1025" max="1025" width="4.5546875" style="445" customWidth="1"/>
    <col min="1026" max="1026" width="30.5546875" style="445" customWidth="1"/>
    <col min="1027" max="1027" width="12.44140625" style="445" customWidth="1"/>
    <col min="1028" max="1028" width="12" style="445" customWidth="1"/>
    <col min="1029" max="1029" width="13.109375" style="445" customWidth="1"/>
    <col min="1030" max="1030" width="14.77734375" style="445" customWidth="1"/>
    <col min="1031" max="1280" width="9" style="445"/>
    <col min="1281" max="1281" width="4.5546875" style="445" customWidth="1"/>
    <col min="1282" max="1282" width="30.5546875" style="445" customWidth="1"/>
    <col min="1283" max="1283" width="12.44140625" style="445" customWidth="1"/>
    <col min="1284" max="1284" width="12" style="445" customWidth="1"/>
    <col min="1285" max="1285" width="13.109375" style="445" customWidth="1"/>
    <col min="1286" max="1286" width="14.77734375" style="445" customWidth="1"/>
    <col min="1287" max="1536" width="9" style="445"/>
    <col min="1537" max="1537" width="4.5546875" style="445" customWidth="1"/>
    <col min="1538" max="1538" width="30.5546875" style="445" customWidth="1"/>
    <col min="1539" max="1539" width="12.44140625" style="445" customWidth="1"/>
    <col min="1540" max="1540" width="12" style="445" customWidth="1"/>
    <col min="1541" max="1541" width="13.109375" style="445" customWidth="1"/>
    <col min="1542" max="1542" width="14.77734375" style="445" customWidth="1"/>
    <col min="1543" max="1792" width="9" style="445"/>
    <col min="1793" max="1793" width="4.5546875" style="445" customWidth="1"/>
    <col min="1794" max="1794" width="30.5546875" style="445" customWidth="1"/>
    <col min="1795" max="1795" width="12.44140625" style="445" customWidth="1"/>
    <col min="1796" max="1796" width="12" style="445" customWidth="1"/>
    <col min="1797" max="1797" width="13.109375" style="445" customWidth="1"/>
    <col min="1798" max="1798" width="14.77734375" style="445" customWidth="1"/>
    <col min="1799" max="2048" width="9" style="445"/>
    <col min="2049" max="2049" width="4.5546875" style="445" customWidth="1"/>
    <col min="2050" max="2050" width="30.5546875" style="445" customWidth="1"/>
    <col min="2051" max="2051" width="12.44140625" style="445" customWidth="1"/>
    <col min="2052" max="2052" width="12" style="445" customWidth="1"/>
    <col min="2053" max="2053" width="13.109375" style="445" customWidth="1"/>
    <col min="2054" max="2054" width="14.77734375" style="445" customWidth="1"/>
    <col min="2055" max="2304" width="9" style="445"/>
    <col min="2305" max="2305" width="4.5546875" style="445" customWidth="1"/>
    <col min="2306" max="2306" width="30.5546875" style="445" customWidth="1"/>
    <col min="2307" max="2307" width="12.44140625" style="445" customWidth="1"/>
    <col min="2308" max="2308" width="12" style="445" customWidth="1"/>
    <col min="2309" max="2309" width="13.109375" style="445" customWidth="1"/>
    <col min="2310" max="2310" width="14.77734375" style="445" customWidth="1"/>
    <col min="2311" max="2560" width="9" style="445"/>
    <col min="2561" max="2561" width="4.5546875" style="445" customWidth="1"/>
    <col min="2562" max="2562" width="30.5546875" style="445" customWidth="1"/>
    <col min="2563" max="2563" width="12.44140625" style="445" customWidth="1"/>
    <col min="2564" max="2564" width="12" style="445" customWidth="1"/>
    <col min="2565" max="2565" width="13.109375" style="445" customWidth="1"/>
    <col min="2566" max="2566" width="14.77734375" style="445" customWidth="1"/>
    <col min="2567" max="2816" width="9" style="445"/>
    <col min="2817" max="2817" width="4.5546875" style="445" customWidth="1"/>
    <col min="2818" max="2818" width="30.5546875" style="445" customWidth="1"/>
    <col min="2819" max="2819" width="12.44140625" style="445" customWidth="1"/>
    <col min="2820" max="2820" width="12" style="445" customWidth="1"/>
    <col min="2821" max="2821" width="13.109375" style="445" customWidth="1"/>
    <col min="2822" max="2822" width="14.77734375" style="445" customWidth="1"/>
    <col min="2823" max="3072" width="9" style="445"/>
    <col min="3073" max="3073" width="4.5546875" style="445" customWidth="1"/>
    <col min="3074" max="3074" width="30.5546875" style="445" customWidth="1"/>
    <col min="3075" max="3075" width="12.44140625" style="445" customWidth="1"/>
    <col min="3076" max="3076" width="12" style="445" customWidth="1"/>
    <col min="3077" max="3077" width="13.109375" style="445" customWidth="1"/>
    <col min="3078" max="3078" width="14.77734375" style="445" customWidth="1"/>
    <col min="3079" max="3328" width="9" style="445"/>
    <col min="3329" max="3329" width="4.5546875" style="445" customWidth="1"/>
    <col min="3330" max="3330" width="30.5546875" style="445" customWidth="1"/>
    <col min="3331" max="3331" width="12.44140625" style="445" customWidth="1"/>
    <col min="3332" max="3332" width="12" style="445" customWidth="1"/>
    <col min="3333" max="3333" width="13.109375" style="445" customWidth="1"/>
    <col min="3334" max="3334" width="14.77734375" style="445" customWidth="1"/>
    <col min="3335" max="3584" width="9" style="445"/>
    <col min="3585" max="3585" width="4.5546875" style="445" customWidth="1"/>
    <col min="3586" max="3586" width="30.5546875" style="445" customWidth="1"/>
    <col min="3587" max="3587" width="12.44140625" style="445" customWidth="1"/>
    <col min="3588" max="3588" width="12" style="445" customWidth="1"/>
    <col min="3589" max="3589" width="13.109375" style="445" customWidth="1"/>
    <col min="3590" max="3590" width="14.77734375" style="445" customWidth="1"/>
    <col min="3591" max="3840" width="9" style="445"/>
    <col min="3841" max="3841" width="4.5546875" style="445" customWidth="1"/>
    <col min="3842" max="3842" width="30.5546875" style="445" customWidth="1"/>
    <col min="3843" max="3843" width="12.44140625" style="445" customWidth="1"/>
    <col min="3844" max="3844" width="12" style="445" customWidth="1"/>
    <col min="3845" max="3845" width="13.109375" style="445" customWidth="1"/>
    <col min="3846" max="3846" width="14.77734375" style="445" customWidth="1"/>
    <col min="3847" max="4096" width="9" style="445"/>
    <col min="4097" max="4097" width="4.5546875" style="445" customWidth="1"/>
    <col min="4098" max="4098" width="30.5546875" style="445" customWidth="1"/>
    <col min="4099" max="4099" width="12.44140625" style="445" customWidth="1"/>
    <col min="4100" max="4100" width="12" style="445" customWidth="1"/>
    <col min="4101" max="4101" width="13.109375" style="445" customWidth="1"/>
    <col min="4102" max="4102" width="14.77734375" style="445" customWidth="1"/>
    <col min="4103" max="4352" width="9" style="445"/>
    <col min="4353" max="4353" width="4.5546875" style="445" customWidth="1"/>
    <col min="4354" max="4354" width="30.5546875" style="445" customWidth="1"/>
    <col min="4355" max="4355" width="12.44140625" style="445" customWidth="1"/>
    <col min="4356" max="4356" width="12" style="445" customWidth="1"/>
    <col min="4357" max="4357" width="13.109375" style="445" customWidth="1"/>
    <col min="4358" max="4358" width="14.77734375" style="445" customWidth="1"/>
    <col min="4359" max="4608" width="9" style="445"/>
    <col min="4609" max="4609" width="4.5546875" style="445" customWidth="1"/>
    <col min="4610" max="4610" width="30.5546875" style="445" customWidth="1"/>
    <col min="4611" max="4611" width="12.44140625" style="445" customWidth="1"/>
    <col min="4612" max="4612" width="12" style="445" customWidth="1"/>
    <col min="4613" max="4613" width="13.109375" style="445" customWidth="1"/>
    <col min="4614" max="4614" width="14.77734375" style="445" customWidth="1"/>
    <col min="4615" max="4864" width="9" style="445"/>
    <col min="4865" max="4865" width="4.5546875" style="445" customWidth="1"/>
    <col min="4866" max="4866" width="30.5546875" style="445" customWidth="1"/>
    <col min="4867" max="4867" width="12.44140625" style="445" customWidth="1"/>
    <col min="4868" max="4868" width="12" style="445" customWidth="1"/>
    <col min="4869" max="4869" width="13.109375" style="445" customWidth="1"/>
    <col min="4870" max="4870" width="14.77734375" style="445" customWidth="1"/>
    <col min="4871" max="5120" width="9" style="445"/>
    <col min="5121" max="5121" width="4.5546875" style="445" customWidth="1"/>
    <col min="5122" max="5122" width="30.5546875" style="445" customWidth="1"/>
    <col min="5123" max="5123" width="12.44140625" style="445" customWidth="1"/>
    <col min="5124" max="5124" width="12" style="445" customWidth="1"/>
    <col min="5125" max="5125" width="13.109375" style="445" customWidth="1"/>
    <col min="5126" max="5126" width="14.77734375" style="445" customWidth="1"/>
    <col min="5127" max="5376" width="9" style="445"/>
    <col min="5377" max="5377" width="4.5546875" style="445" customWidth="1"/>
    <col min="5378" max="5378" width="30.5546875" style="445" customWidth="1"/>
    <col min="5379" max="5379" width="12.44140625" style="445" customWidth="1"/>
    <col min="5380" max="5380" width="12" style="445" customWidth="1"/>
    <col min="5381" max="5381" width="13.109375" style="445" customWidth="1"/>
    <col min="5382" max="5382" width="14.77734375" style="445" customWidth="1"/>
    <col min="5383" max="5632" width="9" style="445"/>
    <col min="5633" max="5633" width="4.5546875" style="445" customWidth="1"/>
    <col min="5634" max="5634" width="30.5546875" style="445" customWidth="1"/>
    <col min="5635" max="5635" width="12.44140625" style="445" customWidth="1"/>
    <col min="5636" max="5636" width="12" style="445" customWidth="1"/>
    <col min="5637" max="5637" width="13.109375" style="445" customWidth="1"/>
    <col min="5638" max="5638" width="14.77734375" style="445" customWidth="1"/>
    <col min="5639" max="5888" width="9" style="445"/>
    <col min="5889" max="5889" width="4.5546875" style="445" customWidth="1"/>
    <col min="5890" max="5890" width="30.5546875" style="445" customWidth="1"/>
    <col min="5891" max="5891" width="12.44140625" style="445" customWidth="1"/>
    <col min="5892" max="5892" width="12" style="445" customWidth="1"/>
    <col min="5893" max="5893" width="13.109375" style="445" customWidth="1"/>
    <col min="5894" max="5894" width="14.77734375" style="445" customWidth="1"/>
    <col min="5895" max="6144" width="9" style="445"/>
    <col min="6145" max="6145" width="4.5546875" style="445" customWidth="1"/>
    <col min="6146" max="6146" width="30.5546875" style="445" customWidth="1"/>
    <col min="6147" max="6147" width="12.44140625" style="445" customWidth="1"/>
    <col min="6148" max="6148" width="12" style="445" customWidth="1"/>
    <col min="6149" max="6149" width="13.109375" style="445" customWidth="1"/>
    <col min="6150" max="6150" width="14.77734375" style="445" customWidth="1"/>
    <col min="6151" max="6400" width="9" style="445"/>
    <col min="6401" max="6401" width="4.5546875" style="445" customWidth="1"/>
    <col min="6402" max="6402" width="30.5546875" style="445" customWidth="1"/>
    <col min="6403" max="6403" width="12.44140625" style="445" customWidth="1"/>
    <col min="6404" max="6404" width="12" style="445" customWidth="1"/>
    <col min="6405" max="6405" width="13.109375" style="445" customWidth="1"/>
    <col min="6406" max="6406" width="14.77734375" style="445" customWidth="1"/>
    <col min="6407" max="6656" width="9" style="445"/>
    <col min="6657" max="6657" width="4.5546875" style="445" customWidth="1"/>
    <col min="6658" max="6658" width="30.5546875" style="445" customWidth="1"/>
    <col min="6659" max="6659" width="12.44140625" style="445" customWidth="1"/>
    <col min="6660" max="6660" width="12" style="445" customWidth="1"/>
    <col min="6661" max="6661" width="13.109375" style="445" customWidth="1"/>
    <col min="6662" max="6662" width="14.77734375" style="445" customWidth="1"/>
    <col min="6663" max="6912" width="9" style="445"/>
    <col min="6913" max="6913" width="4.5546875" style="445" customWidth="1"/>
    <col min="6914" max="6914" width="30.5546875" style="445" customWidth="1"/>
    <col min="6915" max="6915" width="12.44140625" style="445" customWidth="1"/>
    <col min="6916" max="6916" width="12" style="445" customWidth="1"/>
    <col min="6917" max="6917" width="13.109375" style="445" customWidth="1"/>
    <col min="6918" max="6918" width="14.77734375" style="445" customWidth="1"/>
    <col min="6919" max="7168" width="9" style="445"/>
    <col min="7169" max="7169" width="4.5546875" style="445" customWidth="1"/>
    <col min="7170" max="7170" width="30.5546875" style="445" customWidth="1"/>
    <col min="7171" max="7171" width="12.44140625" style="445" customWidth="1"/>
    <col min="7172" max="7172" width="12" style="445" customWidth="1"/>
    <col min="7173" max="7173" width="13.109375" style="445" customWidth="1"/>
    <col min="7174" max="7174" width="14.77734375" style="445" customWidth="1"/>
    <col min="7175" max="7424" width="9" style="445"/>
    <col min="7425" max="7425" width="4.5546875" style="445" customWidth="1"/>
    <col min="7426" max="7426" width="30.5546875" style="445" customWidth="1"/>
    <col min="7427" max="7427" width="12.44140625" style="445" customWidth="1"/>
    <col min="7428" max="7428" width="12" style="445" customWidth="1"/>
    <col min="7429" max="7429" width="13.109375" style="445" customWidth="1"/>
    <col min="7430" max="7430" width="14.77734375" style="445" customWidth="1"/>
    <col min="7431" max="7680" width="9" style="445"/>
    <col min="7681" max="7681" width="4.5546875" style="445" customWidth="1"/>
    <col min="7682" max="7682" width="30.5546875" style="445" customWidth="1"/>
    <col min="7683" max="7683" width="12.44140625" style="445" customWidth="1"/>
    <col min="7684" max="7684" width="12" style="445" customWidth="1"/>
    <col min="7685" max="7685" width="13.109375" style="445" customWidth="1"/>
    <col min="7686" max="7686" width="14.77734375" style="445" customWidth="1"/>
    <col min="7687" max="7936" width="9" style="445"/>
    <col min="7937" max="7937" width="4.5546875" style="445" customWidth="1"/>
    <col min="7938" max="7938" width="30.5546875" style="445" customWidth="1"/>
    <col min="7939" max="7939" width="12.44140625" style="445" customWidth="1"/>
    <col min="7940" max="7940" width="12" style="445" customWidth="1"/>
    <col min="7941" max="7941" width="13.109375" style="445" customWidth="1"/>
    <col min="7942" max="7942" width="14.77734375" style="445" customWidth="1"/>
    <col min="7943" max="8192" width="9" style="445"/>
    <col min="8193" max="8193" width="4.5546875" style="445" customWidth="1"/>
    <col min="8194" max="8194" width="30.5546875" style="445" customWidth="1"/>
    <col min="8195" max="8195" width="12.44140625" style="445" customWidth="1"/>
    <col min="8196" max="8196" width="12" style="445" customWidth="1"/>
    <col min="8197" max="8197" width="13.109375" style="445" customWidth="1"/>
    <col min="8198" max="8198" width="14.77734375" style="445" customWidth="1"/>
    <col min="8199" max="8448" width="9" style="445"/>
    <col min="8449" max="8449" width="4.5546875" style="445" customWidth="1"/>
    <col min="8450" max="8450" width="30.5546875" style="445" customWidth="1"/>
    <col min="8451" max="8451" width="12.44140625" style="445" customWidth="1"/>
    <col min="8452" max="8452" width="12" style="445" customWidth="1"/>
    <col min="8453" max="8453" width="13.109375" style="445" customWidth="1"/>
    <col min="8454" max="8454" width="14.77734375" style="445" customWidth="1"/>
    <col min="8455" max="8704" width="9" style="445"/>
    <col min="8705" max="8705" width="4.5546875" style="445" customWidth="1"/>
    <col min="8706" max="8706" width="30.5546875" style="445" customWidth="1"/>
    <col min="8707" max="8707" width="12.44140625" style="445" customWidth="1"/>
    <col min="8708" max="8708" width="12" style="445" customWidth="1"/>
    <col min="8709" max="8709" width="13.109375" style="445" customWidth="1"/>
    <col min="8710" max="8710" width="14.77734375" style="445" customWidth="1"/>
    <col min="8711" max="8960" width="9" style="445"/>
    <col min="8961" max="8961" width="4.5546875" style="445" customWidth="1"/>
    <col min="8962" max="8962" width="30.5546875" style="445" customWidth="1"/>
    <col min="8963" max="8963" width="12.44140625" style="445" customWidth="1"/>
    <col min="8964" max="8964" width="12" style="445" customWidth="1"/>
    <col min="8965" max="8965" width="13.109375" style="445" customWidth="1"/>
    <col min="8966" max="8966" width="14.77734375" style="445" customWidth="1"/>
    <col min="8967" max="9216" width="9" style="445"/>
    <col min="9217" max="9217" width="4.5546875" style="445" customWidth="1"/>
    <col min="9218" max="9218" width="30.5546875" style="445" customWidth="1"/>
    <col min="9219" max="9219" width="12.44140625" style="445" customWidth="1"/>
    <col min="9220" max="9220" width="12" style="445" customWidth="1"/>
    <col min="9221" max="9221" width="13.109375" style="445" customWidth="1"/>
    <col min="9222" max="9222" width="14.77734375" style="445" customWidth="1"/>
    <col min="9223" max="9472" width="9" style="445"/>
    <col min="9473" max="9473" width="4.5546875" style="445" customWidth="1"/>
    <col min="9474" max="9474" width="30.5546875" style="445" customWidth="1"/>
    <col min="9475" max="9475" width="12.44140625" style="445" customWidth="1"/>
    <col min="9476" max="9476" width="12" style="445" customWidth="1"/>
    <col min="9477" max="9477" width="13.109375" style="445" customWidth="1"/>
    <col min="9478" max="9478" width="14.77734375" style="445" customWidth="1"/>
    <col min="9479" max="9728" width="9" style="445"/>
    <col min="9729" max="9729" width="4.5546875" style="445" customWidth="1"/>
    <col min="9730" max="9730" width="30.5546875" style="445" customWidth="1"/>
    <col min="9731" max="9731" width="12.44140625" style="445" customWidth="1"/>
    <col min="9732" max="9732" width="12" style="445" customWidth="1"/>
    <col min="9733" max="9733" width="13.109375" style="445" customWidth="1"/>
    <col min="9734" max="9734" width="14.77734375" style="445" customWidth="1"/>
    <col min="9735" max="9984" width="9" style="445"/>
    <col min="9985" max="9985" width="4.5546875" style="445" customWidth="1"/>
    <col min="9986" max="9986" width="30.5546875" style="445" customWidth="1"/>
    <col min="9987" max="9987" width="12.44140625" style="445" customWidth="1"/>
    <col min="9988" max="9988" width="12" style="445" customWidth="1"/>
    <col min="9989" max="9989" width="13.109375" style="445" customWidth="1"/>
    <col min="9990" max="9990" width="14.77734375" style="445" customWidth="1"/>
    <col min="9991" max="10240" width="9" style="445"/>
    <col min="10241" max="10241" width="4.5546875" style="445" customWidth="1"/>
    <col min="10242" max="10242" width="30.5546875" style="445" customWidth="1"/>
    <col min="10243" max="10243" width="12.44140625" style="445" customWidth="1"/>
    <col min="10244" max="10244" width="12" style="445" customWidth="1"/>
    <col min="10245" max="10245" width="13.109375" style="445" customWidth="1"/>
    <col min="10246" max="10246" width="14.77734375" style="445" customWidth="1"/>
    <col min="10247" max="10496" width="9" style="445"/>
    <col min="10497" max="10497" width="4.5546875" style="445" customWidth="1"/>
    <col min="10498" max="10498" width="30.5546875" style="445" customWidth="1"/>
    <col min="10499" max="10499" width="12.44140625" style="445" customWidth="1"/>
    <col min="10500" max="10500" width="12" style="445" customWidth="1"/>
    <col min="10501" max="10501" width="13.109375" style="445" customWidth="1"/>
    <col min="10502" max="10502" width="14.77734375" style="445" customWidth="1"/>
    <col min="10503" max="10752" width="9" style="445"/>
    <col min="10753" max="10753" width="4.5546875" style="445" customWidth="1"/>
    <col min="10754" max="10754" width="30.5546875" style="445" customWidth="1"/>
    <col min="10755" max="10755" width="12.44140625" style="445" customWidth="1"/>
    <col min="10756" max="10756" width="12" style="445" customWidth="1"/>
    <col min="10757" max="10757" width="13.109375" style="445" customWidth="1"/>
    <col min="10758" max="10758" width="14.77734375" style="445" customWidth="1"/>
    <col min="10759" max="11008" width="9" style="445"/>
    <col min="11009" max="11009" width="4.5546875" style="445" customWidth="1"/>
    <col min="11010" max="11010" width="30.5546875" style="445" customWidth="1"/>
    <col min="11011" max="11011" width="12.44140625" style="445" customWidth="1"/>
    <col min="11012" max="11012" width="12" style="445" customWidth="1"/>
    <col min="11013" max="11013" width="13.109375" style="445" customWidth="1"/>
    <col min="11014" max="11014" width="14.77734375" style="445" customWidth="1"/>
    <col min="11015" max="11264" width="9" style="445"/>
    <col min="11265" max="11265" width="4.5546875" style="445" customWidth="1"/>
    <col min="11266" max="11266" width="30.5546875" style="445" customWidth="1"/>
    <col min="11267" max="11267" width="12.44140625" style="445" customWidth="1"/>
    <col min="11268" max="11268" width="12" style="445" customWidth="1"/>
    <col min="11269" max="11269" width="13.109375" style="445" customWidth="1"/>
    <col min="11270" max="11270" width="14.77734375" style="445" customWidth="1"/>
    <col min="11271" max="11520" width="9" style="445"/>
    <col min="11521" max="11521" width="4.5546875" style="445" customWidth="1"/>
    <col min="11522" max="11522" width="30.5546875" style="445" customWidth="1"/>
    <col min="11523" max="11523" width="12.44140625" style="445" customWidth="1"/>
    <col min="11524" max="11524" width="12" style="445" customWidth="1"/>
    <col min="11525" max="11525" width="13.109375" style="445" customWidth="1"/>
    <col min="11526" max="11526" width="14.77734375" style="445" customWidth="1"/>
    <col min="11527" max="11776" width="9" style="445"/>
    <col min="11777" max="11777" width="4.5546875" style="445" customWidth="1"/>
    <col min="11778" max="11778" width="30.5546875" style="445" customWidth="1"/>
    <col min="11779" max="11779" width="12.44140625" style="445" customWidth="1"/>
    <col min="11780" max="11780" width="12" style="445" customWidth="1"/>
    <col min="11781" max="11781" width="13.109375" style="445" customWidth="1"/>
    <col min="11782" max="11782" width="14.77734375" style="445" customWidth="1"/>
    <col min="11783" max="12032" width="9" style="445"/>
    <col min="12033" max="12033" width="4.5546875" style="445" customWidth="1"/>
    <col min="12034" max="12034" width="30.5546875" style="445" customWidth="1"/>
    <col min="12035" max="12035" width="12.44140625" style="445" customWidth="1"/>
    <col min="12036" max="12036" width="12" style="445" customWidth="1"/>
    <col min="12037" max="12037" width="13.109375" style="445" customWidth="1"/>
    <col min="12038" max="12038" width="14.77734375" style="445" customWidth="1"/>
    <col min="12039" max="12288" width="9" style="445"/>
    <col min="12289" max="12289" width="4.5546875" style="445" customWidth="1"/>
    <col min="12290" max="12290" width="30.5546875" style="445" customWidth="1"/>
    <col min="12291" max="12291" width="12.44140625" style="445" customWidth="1"/>
    <col min="12292" max="12292" width="12" style="445" customWidth="1"/>
    <col min="12293" max="12293" width="13.109375" style="445" customWidth="1"/>
    <col min="12294" max="12294" width="14.77734375" style="445" customWidth="1"/>
    <col min="12295" max="12544" width="9" style="445"/>
    <col min="12545" max="12545" width="4.5546875" style="445" customWidth="1"/>
    <col min="12546" max="12546" width="30.5546875" style="445" customWidth="1"/>
    <col min="12547" max="12547" width="12.44140625" style="445" customWidth="1"/>
    <col min="12548" max="12548" width="12" style="445" customWidth="1"/>
    <col min="12549" max="12549" width="13.109375" style="445" customWidth="1"/>
    <col min="12550" max="12550" width="14.77734375" style="445" customWidth="1"/>
    <col min="12551" max="12800" width="9" style="445"/>
    <col min="12801" max="12801" width="4.5546875" style="445" customWidth="1"/>
    <col min="12802" max="12802" width="30.5546875" style="445" customWidth="1"/>
    <col min="12803" max="12803" width="12.44140625" style="445" customWidth="1"/>
    <col min="12804" max="12804" width="12" style="445" customWidth="1"/>
    <col min="12805" max="12805" width="13.109375" style="445" customWidth="1"/>
    <col min="12806" max="12806" width="14.77734375" style="445" customWidth="1"/>
    <col min="12807" max="13056" width="9" style="445"/>
    <col min="13057" max="13057" width="4.5546875" style="445" customWidth="1"/>
    <col min="13058" max="13058" width="30.5546875" style="445" customWidth="1"/>
    <col min="13059" max="13059" width="12.44140625" style="445" customWidth="1"/>
    <col min="13060" max="13060" width="12" style="445" customWidth="1"/>
    <col min="13061" max="13061" width="13.109375" style="445" customWidth="1"/>
    <col min="13062" max="13062" width="14.77734375" style="445" customWidth="1"/>
    <col min="13063" max="13312" width="9" style="445"/>
    <col min="13313" max="13313" width="4.5546875" style="445" customWidth="1"/>
    <col min="13314" max="13314" width="30.5546875" style="445" customWidth="1"/>
    <col min="13315" max="13315" width="12.44140625" style="445" customWidth="1"/>
    <col min="13316" max="13316" width="12" style="445" customWidth="1"/>
    <col min="13317" max="13317" width="13.109375" style="445" customWidth="1"/>
    <col min="13318" max="13318" width="14.77734375" style="445" customWidth="1"/>
    <col min="13319" max="13568" width="9" style="445"/>
    <col min="13569" max="13569" width="4.5546875" style="445" customWidth="1"/>
    <col min="13570" max="13570" width="30.5546875" style="445" customWidth="1"/>
    <col min="13571" max="13571" width="12.44140625" style="445" customWidth="1"/>
    <col min="13572" max="13572" width="12" style="445" customWidth="1"/>
    <col min="13573" max="13573" width="13.109375" style="445" customWidth="1"/>
    <col min="13574" max="13574" width="14.77734375" style="445" customWidth="1"/>
    <col min="13575" max="13824" width="9" style="445"/>
    <col min="13825" max="13825" width="4.5546875" style="445" customWidth="1"/>
    <col min="13826" max="13826" width="30.5546875" style="445" customWidth="1"/>
    <col min="13827" max="13827" width="12.44140625" style="445" customWidth="1"/>
    <col min="13828" max="13828" width="12" style="445" customWidth="1"/>
    <col min="13829" max="13829" width="13.109375" style="445" customWidth="1"/>
    <col min="13830" max="13830" width="14.77734375" style="445" customWidth="1"/>
    <col min="13831" max="14080" width="9" style="445"/>
    <col min="14081" max="14081" width="4.5546875" style="445" customWidth="1"/>
    <col min="14082" max="14082" width="30.5546875" style="445" customWidth="1"/>
    <col min="14083" max="14083" width="12.44140625" style="445" customWidth="1"/>
    <col min="14084" max="14084" width="12" style="445" customWidth="1"/>
    <col min="14085" max="14085" width="13.109375" style="445" customWidth="1"/>
    <col min="14086" max="14086" width="14.77734375" style="445" customWidth="1"/>
    <col min="14087" max="14336" width="9" style="445"/>
    <col min="14337" max="14337" width="4.5546875" style="445" customWidth="1"/>
    <col min="14338" max="14338" width="30.5546875" style="445" customWidth="1"/>
    <col min="14339" max="14339" width="12.44140625" style="445" customWidth="1"/>
    <col min="14340" max="14340" width="12" style="445" customWidth="1"/>
    <col min="14341" max="14341" width="13.109375" style="445" customWidth="1"/>
    <col min="14342" max="14342" width="14.77734375" style="445" customWidth="1"/>
    <col min="14343" max="14592" width="9" style="445"/>
    <col min="14593" max="14593" width="4.5546875" style="445" customWidth="1"/>
    <col min="14594" max="14594" width="30.5546875" style="445" customWidth="1"/>
    <col min="14595" max="14595" width="12.44140625" style="445" customWidth="1"/>
    <col min="14596" max="14596" width="12" style="445" customWidth="1"/>
    <col min="14597" max="14597" width="13.109375" style="445" customWidth="1"/>
    <col min="14598" max="14598" width="14.77734375" style="445" customWidth="1"/>
    <col min="14599" max="14848" width="9" style="445"/>
    <col min="14849" max="14849" width="4.5546875" style="445" customWidth="1"/>
    <col min="14850" max="14850" width="30.5546875" style="445" customWidth="1"/>
    <col min="14851" max="14851" width="12.44140625" style="445" customWidth="1"/>
    <col min="14852" max="14852" width="12" style="445" customWidth="1"/>
    <col min="14853" max="14853" width="13.109375" style="445" customWidth="1"/>
    <col min="14854" max="14854" width="14.77734375" style="445" customWidth="1"/>
    <col min="14855" max="15104" width="9" style="445"/>
    <col min="15105" max="15105" width="4.5546875" style="445" customWidth="1"/>
    <col min="15106" max="15106" width="30.5546875" style="445" customWidth="1"/>
    <col min="15107" max="15107" width="12.44140625" style="445" customWidth="1"/>
    <col min="15108" max="15108" width="12" style="445" customWidth="1"/>
    <col min="15109" max="15109" width="13.109375" style="445" customWidth="1"/>
    <col min="15110" max="15110" width="14.77734375" style="445" customWidth="1"/>
    <col min="15111" max="15360" width="9" style="445"/>
    <col min="15361" max="15361" width="4.5546875" style="445" customWidth="1"/>
    <col min="15362" max="15362" width="30.5546875" style="445" customWidth="1"/>
    <col min="15363" max="15363" width="12.44140625" style="445" customWidth="1"/>
    <col min="15364" max="15364" width="12" style="445" customWidth="1"/>
    <col min="15365" max="15365" width="13.109375" style="445" customWidth="1"/>
    <col min="15366" max="15366" width="14.77734375" style="445" customWidth="1"/>
    <col min="15367" max="15616" width="9" style="445"/>
    <col min="15617" max="15617" width="4.5546875" style="445" customWidth="1"/>
    <col min="15618" max="15618" width="30.5546875" style="445" customWidth="1"/>
    <col min="15619" max="15619" width="12.44140625" style="445" customWidth="1"/>
    <col min="15620" max="15620" width="12" style="445" customWidth="1"/>
    <col min="15621" max="15621" width="13.109375" style="445" customWidth="1"/>
    <col min="15622" max="15622" width="14.77734375" style="445" customWidth="1"/>
    <col min="15623" max="15872" width="9" style="445"/>
    <col min="15873" max="15873" width="4.5546875" style="445" customWidth="1"/>
    <col min="15874" max="15874" width="30.5546875" style="445" customWidth="1"/>
    <col min="15875" max="15875" width="12.44140625" style="445" customWidth="1"/>
    <col min="15876" max="15876" width="12" style="445" customWidth="1"/>
    <col min="15877" max="15877" width="13.109375" style="445" customWidth="1"/>
    <col min="15878" max="15878" width="14.77734375" style="445" customWidth="1"/>
    <col min="15879" max="16128" width="9" style="445"/>
    <col min="16129" max="16129" width="4.5546875" style="445" customWidth="1"/>
    <col min="16130" max="16130" width="30.5546875" style="445" customWidth="1"/>
    <col min="16131" max="16131" width="12.44140625" style="445" customWidth="1"/>
    <col min="16132" max="16132" width="12" style="445" customWidth="1"/>
    <col min="16133" max="16133" width="13.109375" style="445" customWidth="1"/>
    <col min="16134" max="16134" width="14.77734375" style="445" customWidth="1"/>
    <col min="16135" max="16384" width="9" style="445"/>
  </cols>
  <sheetData>
    <row r="1" spans="1:14" ht="15.75">
      <c r="A1" s="997" t="s">
        <v>49</v>
      </c>
      <c r="B1" s="997"/>
      <c r="C1" s="605"/>
      <c r="D1" s="447"/>
      <c r="E1" s="447"/>
      <c r="F1" s="448"/>
      <c r="G1" s="449"/>
      <c r="H1" s="449"/>
      <c r="I1" s="449"/>
      <c r="J1" s="449"/>
      <c r="K1" s="449"/>
      <c r="L1" s="449"/>
      <c r="M1" s="449"/>
      <c r="N1" s="449"/>
    </row>
    <row r="2" spans="1:14" ht="15.75">
      <c r="A2" s="1003" t="s">
        <v>38</v>
      </c>
      <c r="B2" s="1003"/>
      <c r="C2" s="447"/>
      <c r="D2" s="447"/>
      <c r="E2" s="447"/>
      <c r="F2" s="449"/>
      <c r="G2" s="449"/>
      <c r="H2" s="449"/>
      <c r="I2" s="449"/>
      <c r="J2" s="449"/>
      <c r="K2" s="449"/>
      <c r="L2" s="449"/>
      <c r="M2" s="449"/>
      <c r="N2" s="449"/>
    </row>
    <row r="3" spans="1:14" s="519" customFormat="1" ht="15.75">
      <c r="A3" s="447"/>
      <c r="B3" s="447"/>
      <c r="C3" s="447"/>
      <c r="D3" s="447"/>
      <c r="E3" s="447"/>
      <c r="F3" s="449"/>
      <c r="G3" s="449"/>
      <c r="H3" s="449"/>
      <c r="I3" s="449"/>
      <c r="J3" s="449"/>
      <c r="K3" s="449"/>
      <c r="L3" s="449"/>
      <c r="M3" s="449"/>
      <c r="N3" s="449"/>
    </row>
    <row r="4" spans="1:14" ht="13.5" customHeight="1">
      <c r="A4" s="1017" t="s">
        <v>120</v>
      </c>
      <c r="B4" s="1017"/>
      <c r="C4" s="1017"/>
      <c r="D4" s="1017"/>
      <c r="E4" s="1017"/>
      <c r="F4" s="1017"/>
      <c r="G4" s="450"/>
      <c r="H4" s="450"/>
      <c r="I4" s="450"/>
      <c r="J4" s="450"/>
      <c r="K4" s="450"/>
      <c r="L4" s="450"/>
      <c r="M4" s="451"/>
      <c r="N4" s="451"/>
    </row>
    <row r="5" spans="1:14" ht="15.75">
      <c r="A5" s="1017" t="s">
        <v>37</v>
      </c>
      <c r="B5" s="1017"/>
      <c r="C5" s="1017"/>
      <c r="D5" s="1017"/>
      <c r="E5" s="1017"/>
      <c r="F5" s="1017"/>
      <c r="G5" s="450"/>
      <c r="H5" s="450"/>
      <c r="I5" s="450"/>
      <c r="J5" s="450"/>
      <c r="K5" s="450"/>
      <c r="L5" s="450"/>
      <c r="M5" s="451"/>
      <c r="N5" s="451"/>
    </row>
    <row r="6" spans="1:14" ht="15.75">
      <c r="A6" s="845" t="s">
        <v>160</v>
      </c>
      <c r="B6" s="845"/>
      <c r="C6" s="845"/>
      <c r="D6" s="845"/>
      <c r="E6" s="845"/>
      <c r="F6" s="845"/>
      <c r="G6" s="47"/>
      <c r="H6" s="47"/>
      <c r="I6" s="452"/>
      <c r="J6" s="452"/>
      <c r="K6" s="452"/>
      <c r="L6" s="452"/>
      <c r="M6" s="449"/>
      <c r="N6" s="449"/>
    </row>
    <row r="7" spans="1:14" ht="15.75">
      <c r="A7" s="450"/>
      <c r="B7" s="450"/>
      <c r="C7" s="450"/>
      <c r="D7" s="1018" t="s">
        <v>40</v>
      </c>
      <c r="E7" s="1018"/>
      <c r="F7" s="1018"/>
      <c r="G7" s="450"/>
      <c r="H7" s="450"/>
      <c r="I7" s="450"/>
      <c r="J7" s="450"/>
      <c r="K7" s="450"/>
      <c r="L7" s="450"/>
      <c r="M7" s="449"/>
      <c r="N7" s="449"/>
    </row>
    <row r="8" spans="1:14">
      <c r="A8" s="449"/>
      <c r="B8" s="449"/>
      <c r="C8" s="449"/>
      <c r="D8" s="449"/>
      <c r="E8" s="449"/>
      <c r="F8" s="453"/>
      <c r="G8" s="449"/>
      <c r="H8" s="449"/>
      <c r="I8" s="449"/>
      <c r="J8" s="449"/>
      <c r="K8" s="449"/>
      <c r="L8" s="449"/>
      <c r="M8" s="449"/>
      <c r="N8" s="449"/>
    </row>
    <row r="9" spans="1:14" ht="15.75" customHeight="1">
      <c r="A9" s="1019" t="s">
        <v>12</v>
      </c>
      <c r="B9" s="1022" t="s">
        <v>50</v>
      </c>
      <c r="C9" s="1025" t="s">
        <v>107</v>
      </c>
      <c r="D9" s="1025" t="s">
        <v>179</v>
      </c>
      <c r="E9" s="1025" t="s">
        <v>51</v>
      </c>
      <c r="F9" s="1014" t="s">
        <v>172</v>
      </c>
      <c r="G9" s="451"/>
      <c r="H9" s="451"/>
      <c r="I9" s="451"/>
      <c r="J9" s="451"/>
      <c r="K9" s="451"/>
      <c r="L9" s="451"/>
      <c r="M9" s="451"/>
      <c r="N9" s="451"/>
    </row>
    <row r="10" spans="1:14" ht="15.75">
      <c r="A10" s="1020"/>
      <c r="B10" s="1023"/>
      <c r="C10" s="1026"/>
      <c r="D10" s="1026"/>
      <c r="E10" s="1026"/>
      <c r="F10" s="1015"/>
      <c r="G10" s="451"/>
      <c r="H10" s="451"/>
      <c r="I10" s="451"/>
      <c r="J10" s="451"/>
      <c r="K10" s="451"/>
      <c r="L10" s="451"/>
      <c r="M10" s="451"/>
      <c r="N10" s="451"/>
    </row>
    <row r="11" spans="1:14" ht="15.75">
      <c r="A11" s="1021"/>
      <c r="B11" s="1024"/>
      <c r="C11" s="1027"/>
      <c r="D11" s="1027"/>
      <c r="E11" s="1027"/>
      <c r="F11" s="1016"/>
      <c r="G11" s="451"/>
      <c r="H11" s="451"/>
      <c r="I11" s="451"/>
      <c r="J11" s="451"/>
      <c r="K11" s="451"/>
      <c r="L11" s="451"/>
      <c r="M11" s="451"/>
      <c r="N11" s="451"/>
    </row>
    <row r="12" spans="1:14" ht="15.75">
      <c r="A12" s="454" t="s">
        <v>16</v>
      </c>
      <c r="B12" s="454" t="s">
        <v>17</v>
      </c>
      <c r="C12" s="454" t="s">
        <v>77</v>
      </c>
      <c r="D12" s="454">
        <v>1</v>
      </c>
      <c r="E12" s="518">
        <v>2</v>
      </c>
      <c r="F12" s="455" t="s">
        <v>27</v>
      </c>
      <c r="G12" s="456"/>
      <c r="H12" s="456"/>
      <c r="I12" s="456"/>
      <c r="J12" s="456"/>
      <c r="K12" s="456"/>
      <c r="L12" s="456"/>
      <c r="M12" s="456"/>
      <c r="N12" s="456"/>
    </row>
    <row r="13" spans="1:14" ht="15.75">
      <c r="A13" s="457"/>
      <c r="B13" s="458" t="s">
        <v>13</v>
      </c>
      <c r="C13" s="458"/>
      <c r="D13" s="458"/>
      <c r="E13" s="458"/>
      <c r="F13" s="198"/>
      <c r="G13" s="459"/>
      <c r="H13" s="460"/>
      <c r="I13" s="461"/>
      <c r="J13" s="460"/>
      <c r="K13" s="460"/>
      <c r="L13" s="460"/>
      <c r="M13" s="460"/>
      <c r="N13" s="460"/>
    </row>
    <row r="14" spans="1:14" ht="15.75">
      <c r="A14" s="458" t="s">
        <v>98</v>
      </c>
      <c r="B14" s="462"/>
      <c r="C14" s="458"/>
      <c r="D14" s="458"/>
      <c r="E14" s="458"/>
      <c r="F14" s="198"/>
      <c r="G14" s="459"/>
      <c r="H14" s="460"/>
      <c r="I14" s="461"/>
      <c r="J14" s="460"/>
      <c r="K14" s="460"/>
      <c r="L14" s="460"/>
      <c r="M14" s="460"/>
      <c r="N14" s="460"/>
    </row>
    <row r="15" spans="1:14" ht="15.75">
      <c r="A15" s="457"/>
      <c r="B15" s="463"/>
      <c r="C15" s="464"/>
      <c r="D15" s="465"/>
      <c r="E15" s="465"/>
      <c r="F15" s="465"/>
      <c r="G15" s="460"/>
      <c r="H15" s="460"/>
      <c r="I15" s="466"/>
      <c r="J15" s="460"/>
      <c r="K15" s="460"/>
      <c r="L15" s="460"/>
      <c r="M15" s="460"/>
      <c r="N15" s="460"/>
    </row>
    <row r="16" spans="1:14" ht="15.75">
      <c r="A16" s="467"/>
      <c r="B16" s="463"/>
      <c r="C16" s="464"/>
      <c r="D16" s="465"/>
      <c r="E16" s="465"/>
      <c r="F16" s="465"/>
      <c r="G16" s="468"/>
      <c r="H16" s="469"/>
      <c r="I16" s="469"/>
      <c r="J16" s="469"/>
      <c r="K16" s="469"/>
      <c r="L16" s="469"/>
      <c r="M16" s="469"/>
      <c r="N16" s="469"/>
    </row>
    <row r="17" spans="1:14" ht="15.75">
      <c r="A17" s="470"/>
      <c r="B17" s="463"/>
      <c r="C17" s="464"/>
      <c r="D17" s="465"/>
      <c r="E17" s="465"/>
      <c r="F17" s="465"/>
      <c r="G17" s="471"/>
      <c r="H17" s="471"/>
      <c r="I17" s="471"/>
      <c r="J17" s="471"/>
      <c r="K17" s="471"/>
      <c r="L17" s="471"/>
      <c r="M17" s="472"/>
      <c r="N17" s="472"/>
    </row>
    <row r="18" spans="1:14" ht="15.75">
      <c r="A18" s="473"/>
      <c r="B18" s="462"/>
      <c r="C18" s="474"/>
      <c r="D18" s="473"/>
      <c r="E18" s="473"/>
      <c r="F18" s="475"/>
      <c r="G18" s="471"/>
      <c r="H18" s="471"/>
      <c r="I18" s="471"/>
      <c r="J18" s="471"/>
      <c r="K18" s="471"/>
      <c r="L18" s="471"/>
      <c r="M18" s="472"/>
      <c r="N18" s="472"/>
    </row>
    <row r="19" spans="1:14" ht="15.75">
      <c r="A19" s="476"/>
      <c r="B19" s="477"/>
      <c r="C19" s="476"/>
      <c r="D19" s="478"/>
      <c r="E19" s="477"/>
      <c r="F19" s="478"/>
      <c r="G19" s="479"/>
    </row>
    <row r="20" spans="1:14" ht="15.75">
      <c r="A20" s="476"/>
      <c r="B20" s="477"/>
      <c r="C20" s="476"/>
      <c r="D20" s="478"/>
      <c r="E20" s="477"/>
      <c r="F20" s="478"/>
      <c r="G20" s="480"/>
    </row>
    <row r="21" spans="1:14">
      <c r="A21" s="481"/>
      <c r="B21" s="482"/>
      <c r="C21" s="482"/>
      <c r="D21" s="483"/>
      <c r="E21" s="483"/>
      <c r="F21" s="483"/>
      <c r="G21" s="483"/>
    </row>
    <row r="22" spans="1:14">
      <c r="A22" s="481"/>
      <c r="B22" s="482"/>
      <c r="C22" s="482"/>
      <c r="D22" s="483"/>
      <c r="E22" s="483"/>
      <c r="F22" s="483"/>
      <c r="G22" s="483"/>
    </row>
    <row r="23" spans="1:14">
      <c r="A23" s="481"/>
      <c r="B23" s="482"/>
      <c r="C23" s="482"/>
      <c r="D23" s="483"/>
      <c r="E23" s="483"/>
      <c r="F23" s="483"/>
      <c r="G23" s="483"/>
    </row>
    <row r="24" spans="1:14" ht="15.75">
      <c r="A24" s="484"/>
      <c r="B24" s="484"/>
      <c r="C24" s="485"/>
      <c r="D24" s="486"/>
      <c r="E24" s="486"/>
      <c r="F24" s="486"/>
      <c r="G24" s="486"/>
    </row>
    <row r="26" spans="1:14" ht="15.75">
      <c r="A26" s="451"/>
      <c r="B26" s="451"/>
      <c r="C26" s="451"/>
      <c r="D26" s="451"/>
      <c r="E26" s="451"/>
      <c r="F26" s="451"/>
      <c r="G26" s="487"/>
    </row>
    <row r="27" spans="1:14" ht="15.75">
      <c r="A27" s="449"/>
      <c r="B27" s="449"/>
      <c r="C27" s="449"/>
      <c r="D27" s="449"/>
      <c r="E27" s="449"/>
      <c r="F27" s="449"/>
      <c r="G27" s="487"/>
    </row>
    <row r="28" spans="1:14" ht="15.75">
      <c r="A28" s="449"/>
      <c r="B28" s="449"/>
      <c r="C28" s="449"/>
      <c r="D28" s="449"/>
      <c r="E28" s="449"/>
      <c r="F28" s="449"/>
      <c r="G28" s="487"/>
    </row>
    <row r="29" spans="1:14" ht="15.75">
      <c r="A29" s="22"/>
      <c r="B29" s="22"/>
      <c r="C29" s="22"/>
      <c r="D29" s="22"/>
      <c r="E29" s="22"/>
      <c r="F29" s="22"/>
    </row>
    <row r="30" spans="1:14" ht="15.75">
      <c r="A30" s="22"/>
      <c r="B30" s="22"/>
      <c r="C30" s="22"/>
      <c r="D30" s="22"/>
      <c r="E30" s="22"/>
      <c r="F30" s="22"/>
    </row>
    <row r="31" spans="1:14" ht="15.75">
      <c r="A31" s="451"/>
      <c r="B31" s="451"/>
      <c r="C31" s="451"/>
      <c r="D31" s="451"/>
      <c r="E31" s="451"/>
      <c r="F31" s="451"/>
      <c r="G31" s="487"/>
    </row>
    <row r="32" spans="1:14" ht="15.75">
      <c r="A32" s="50"/>
      <c r="B32" s="50"/>
      <c r="C32" s="50"/>
      <c r="D32" s="50"/>
      <c r="E32" s="50"/>
      <c r="F32" s="50"/>
    </row>
    <row r="33" spans="1:7" ht="15.75">
      <c r="A33" s="488"/>
      <c r="B33" s="488"/>
      <c r="C33" s="488"/>
      <c r="D33" s="488"/>
      <c r="E33" s="488"/>
      <c r="F33" s="488"/>
      <c r="G33" s="489"/>
    </row>
    <row r="34" spans="1:7" ht="15.75">
      <c r="A34" s="22"/>
      <c r="B34" s="22"/>
      <c r="C34" s="22"/>
      <c r="D34" s="22"/>
      <c r="E34" s="22"/>
      <c r="F34" s="22"/>
    </row>
    <row r="35" spans="1:7" ht="15.75">
      <c r="A35" s="22"/>
      <c r="B35" s="490"/>
      <c r="C35" s="490"/>
      <c r="D35" s="490"/>
      <c r="E35" s="451"/>
      <c r="F35" s="451"/>
    </row>
    <row r="36" spans="1:7" ht="15.75">
      <c r="A36" s="22"/>
      <c r="B36" s="22"/>
      <c r="C36" s="22"/>
      <c r="D36" s="22"/>
      <c r="E36" s="22"/>
      <c r="F36" s="22"/>
    </row>
  </sheetData>
  <mergeCells count="12">
    <mergeCell ref="A1:B1"/>
    <mergeCell ref="A2:B2"/>
    <mergeCell ref="A6:F6"/>
    <mergeCell ref="F9:F11"/>
    <mergeCell ref="A4:F4"/>
    <mergeCell ref="A5:F5"/>
    <mergeCell ref="D7:F7"/>
    <mergeCell ref="A9:A11"/>
    <mergeCell ref="B9:B11"/>
    <mergeCell ref="C9:C11"/>
    <mergeCell ref="D9:D11"/>
    <mergeCell ref="E9:E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82"/>
  <sheetViews>
    <sheetView workbookViewId="0">
      <selection activeCell="A7" sqref="A7:F7"/>
    </sheetView>
  </sheetViews>
  <sheetFormatPr defaultColWidth="9" defaultRowHeight="15"/>
  <cols>
    <col min="1" max="1" width="4.44140625" style="147" customWidth="1"/>
    <col min="2" max="2" width="31.109375" style="24" customWidth="1"/>
    <col min="3" max="3" width="13" style="71" customWidth="1"/>
    <col min="4" max="4" width="16.44140625" style="71" customWidth="1"/>
    <col min="5" max="5" width="14.77734375" style="71" customWidth="1"/>
    <col min="6" max="6" width="14.44140625" style="71" customWidth="1"/>
    <col min="7" max="16384" width="9" style="24"/>
  </cols>
  <sheetData>
    <row r="1" spans="1:15" ht="23.1" customHeight="1">
      <c r="A1" s="867" t="s">
        <v>49</v>
      </c>
      <c r="B1" s="867"/>
      <c r="C1" s="11"/>
      <c r="E1" s="942" t="s">
        <v>33</v>
      </c>
      <c r="F1" s="943"/>
    </row>
    <row r="2" spans="1:15" ht="16.5" customHeight="1">
      <c r="A2" s="228" t="s">
        <v>39</v>
      </c>
      <c r="B2" s="228"/>
      <c r="C2" s="11"/>
      <c r="E2" s="48"/>
      <c r="F2" s="146"/>
    </row>
    <row r="3" spans="1:15" ht="16.5" customHeight="1">
      <c r="A3" s="189"/>
      <c r="B3" s="189"/>
      <c r="C3" s="11"/>
      <c r="E3" s="48"/>
      <c r="F3" s="190"/>
    </row>
    <row r="4" spans="1:15" ht="23.1" customHeight="1">
      <c r="A4" s="1032" t="s">
        <v>6</v>
      </c>
      <c r="B4" s="1030"/>
      <c r="C4" s="1030"/>
      <c r="D4" s="1030"/>
      <c r="E4" s="1030"/>
      <c r="F4" s="1030"/>
      <c r="G4" s="8"/>
      <c r="H4" s="8"/>
      <c r="I4" s="8"/>
      <c r="J4" s="8"/>
      <c r="K4" s="8"/>
      <c r="L4" s="8"/>
      <c r="M4" s="8"/>
      <c r="N4" s="8"/>
      <c r="O4" s="8"/>
    </row>
    <row r="5" spans="1:15" ht="18" customHeight="1">
      <c r="A5" s="1032" t="s">
        <v>36</v>
      </c>
      <c r="B5" s="1030"/>
      <c r="C5" s="1030"/>
      <c r="D5" s="1030"/>
      <c r="E5" s="1030"/>
      <c r="F5" s="1030"/>
      <c r="G5" s="9"/>
      <c r="H5" s="9"/>
      <c r="I5" s="9"/>
      <c r="J5" s="9"/>
      <c r="K5" s="9"/>
      <c r="L5" s="9"/>
      <c r="M5" s="9"/>
      <c r="N5" s="9"/>
      <c r="O5" s="9"/>
    </row>
    <row r="6" spans="1:15" ht="23.1" customHeight="1">
      <c r="A6" s="941" t="s">
        <v>180</v>
      </c>
      <c r="B6" s="941"/>
      <c r="C6" s="941"/>
      <c r="D6" s="941"/>
      <c r="E6" s="941"/>
      <c r="F6" s="941"/>
      <c r="G6" s="9"/>
      <c r="H6" s="9"/>
      <c r="I6" s="9"/>
      <c r="J6" s="9"/>
      <c r="K6" s="9"/>
      <c r="L6" s="9"/>
      <c r="M6" s="9"/>
      <c r="N6" s="9"/>
      <c r="O6" s="9"/>
    </row>
    <row r="7" spans="1:15" ht="23.1" customHeight="1">
      <c r="A7" s="845" t="s">
        <v>160</v>
      </c>
      <c r="B7" s="845"/>
      <c r="C7" s="845"/>
      <c r="D7" s="845"/>
      <c r="E7" s="845"/>
      <c r="F7" s="845"/>
      <c r="G7" s="9"/>
      <c r="H7" s="9"/>
      <c r="I7" s="9"/>
      <c r="J7" s="9"/>
      <c r="K7" s="9"/>
      <c r="L7" s="9"/>
      <c r="M7" s="9"/>
      <c r="N7" s="9"/>
      <c r="O7" s="9"/>
    </row>
    <row r="8" spans="1:15" ht="23.1" customHeight="1">
      <c r="D8" s="24"/>
      <c r="E8" s="1031" t="s">
        <v>18</v>
      </c>
      <c r="F8" s="1031"/>
      <c r="L8" s="148"/>
      <c r="M8" s="148"/>
      <c r="N8" s="148"/>
    </row>
    <row r="9" spans="1:15" s="153" customFormat="1" ht="23.1" customHeight="1">
      <c r="A9" s="80" t="s">
        <v>12</v>
      </c>
      <c r="B9" s="151" t="s">
        <v>50</v>
      </c>
      <c r="C9" s="152" t="s">
        <v>7</v>
      </c>
      <c r="D9" s="152" t="s">
        <v>8</v>
      </c>
      <c r="E9" s="152" t="s">
        <v>9</v>
      </c>
      <c r="F9" s="152" t="s">
        <v>10</v>
      </c>
      <c r="L9" s="149"/>
      <c r="M9" s="149"/>
      <c r="N9" s="149"/>
    </row>
    <row r="10" spans="1:15" s="153" customFormat="1" ht="23.1" customHeight="1">
      <c r="A10" s="154"/>
      <c r="B10" s="151" t="s">
        <v>13</v>
      </c>
      <c r="C10" s="167"/>
      <c r="D10" s="167"/>
      <c r="E10" s="167"/>
      <c r="F10" s="167"/>
    </row>
    <row r="11" spans="1:15" s="148" customFormat="1" ht="23.1" customHeight="1">
      <c r="A11" s="20"/>
      <c r="B11" s="31"/>
      <c r="C11" s="168"/>
      <c r="D11" s="168"/>
      <c r="E11" s="168"/>
      <c r="F11" s="168"/>
    </row>
    <row r="12" spans="1:15" s="7" customFormat="1" ht="23.1" customHeight="1">
      <c r="A12" s="46"/>
      <c r="B12" s="32"/>
      <c r="C12" s="169"/>
      <c r="D12" s="169"/>
      <c r="E12" s="169"/>
      <c r="F12" s="169"/>
      <c r="G12" s="35"/>
    </row>
    <row r="13" spans="1:15" ht="23.1" customHeight="1">
      <c r="A13" s="184"/>
      <c r="B13" s="185"/>
      <c r="C13" s="186"/>
      <c r="D13" s="186"/>
      <c r="E13" s="186"/>
      <c r="F13" s="186"/>
      <c r="G13" s="1035"/>
      <c r="H13" s="982"/>
      <c r="I13" s="971"/>
      <c r="J13" s="971"/>
      <c r="K13" s="971"/>
      <c r="L13" s="971"/>
    </row>
    <row r="14" spans="1:15" s="145" customFormat="1" ht="23.1" customHeight="1">
      <c r="A14" s="199"/>
      <c r="B14" s="200"/>
      <c r="C14" s="201"/>
      <c r="D14" s="201"/>
      <c r="E14" s="201"/>
      <c r="F14" s="201"/>
      <c r="G14" s="1037"/>
      <c r="H14" s="1038"/>
      <c r="I14" s="202"/>
      <c r="J14" s="202"/>
      <c r="K14" s="202"/>
      <c r="L14" s="202"/>
    </row>
    <row r="15" spans="1:15" s="92" customFormat="1" ht="23.1" customHeight="1">
      <c r="A15" s="150"/>
      <c r="B15" s="100"/>
      <c r="C15" s="170"/>
      <c r="D15" s="170"/>
      <c r="E15" s="170"/>
      <c r="F15" s="170"/>
      <c r="G15" s="1035"/>
      <c r="H15" s="1036"/>
      <c r="I15" s="1036"/>
      <c r="J15" s="1036"/>
      <c r="K15" s="1036"/>
      <c r="L15" s="107"/>
      <c r="M15" s="107"/>
      <c r="N15" s="107"/>
      <c r="O15" s="107"/>
    </row>
    <row r="16" spans="1:15" ht="23.1" customHeight="1">
      <c r="E16" s="1033"/>
      <c r="F16" s="1034"/>
      <c r="G16" s="107"/>
      <c r="H16" s="107"/>
      <c r="L16" s="107"/>
      <c r="M16" s="107"/>
      <c r="N16" s="107"/>
      <c r="O16" s="107"/>
    </row>
    <row r="17" spans="1:6" ht="23.1" customHeight="1">
      <c r="B17" s="33" t="s">
        <v>11</v>
      </c>
      <c r="C17" s="196"/>
      <c r="D17" s="197"/>
      <c r="E17" s="196"/>
      <c r="F17" s="197"/>
    </row>
    <row r="18" spans="1:6" ht="23.1" customHeight="1"/>
    <row r="19" spans="1:6" ht="23.1" customHeight="1"/>
    <row r="20" spans="1:6" ht="23.1" customHeight="1"/>
    <row r="21" spans="1:6" ht="23.1" customHeight="1"/>
    <row r="22" spans="1:6" ht="23.1" customHeight="1"/>
    <row r="23" spans="1:6" ht="23.1" customHeight="1">
      <c r="B23" s="34"/>
    </row>
    <row r="24" spans="1:6" ht="23.1" customHeight="1">
      <c r="B24" s="34"/>
    </row>
    <row r="25" spans="1:6" ht="23.1" customHeight="1">
      <c r="B25" s="133"/>
    </row>
    <row r="26" spans="1:6" ht="23.1" customHeight="1">
      <c r="B26" s="133"/>
    </row>
    <row r="27" spans="1:6" ht="23.1" customHeight="1">
      <c r="B27" s="133"/>
    </row>
    <row r="28" spans="1:6" ht="23.1" customHeight="1"/>
    <row r="29" spans="1:6" ht="23.1" customHeight="1"/>
    <row r="30" spans="1:6" ht="23.1" customHeight="1"/>
    <row r="31" spans="1:6" ht="23.1" customHeight="1">
      <c r="E31" s="1029"/>
      <c r="F31" s="1029"/>
    </row>
    <row r="32" spans="1:6" ht="23.1" customHeight="1">
      <c r="A32" s="1030"/>
      <c r="B32" s="1030"/>
      <c r="C32" s="1030"/>
      <c r="D32" s="1030"/>
      <c r="E32" s="1030"/>
      <c r="F32" s="1030"/>
    </row>
    <row r="33" spans="1:6" ht="23.1" customHeight="1">
      <c r="A33" s="1030"/>
      <c r="B33" s="1030"/>
      <c r="C33" s="1030"/>
      <c r="D33" s="1030"/>
      <c r="E33" s="1030"/>
      <c r="F33" s="1030"/>
    </row>
    <row r="34" spans="1:6" ht="23.1" customHeight="1">
      <c r="A34" s="10"/>
      <c r="B34" s="9"/>
      <c r="C34" s="12"/>
      <c r="D34" s="12"/>
      <c r="E34" s="12"/>
      <c r="F34" s="12"/>
    </row>
    <row r="35" spans="1:6" ht="23.1" customHeight="1">
      <c r="D35" s="1028"/>
      <c r="E35" s="1028"/>
      <c r="F35" s="1028"/>
    </row>
    <row r="36" spans="1:6" ht="23.1" customHeight="1">
      <c r="A36" s="13"/>
      <c r="B36" s="13"/>
      <c r="C36" s="14"/>
      <c r="D36" s="14"/>
      <c r="E36" s="14"/>
      <c r="F36" s="14"/>
    </row>
    <row r="37" spans="1:6" ht="23.1" customHeight="1">
      <c r="A37" s="13"/>
      <c r="B37" s="13"/>
      <c r="C37" s="14"/>
      <c r="D37" s="14"/>
      <c r="E37" s="14"/>
      <c r="F37" s="14"/>
    </row>
    <row r="38" spans="1:6" ht="23.1" customHeight="1">
      <c r="A38" s="20"/>
      <c r="B38" s="20"/>
      <c r="C38" s="21"/>
      <c r="D38" s="21"/>
      <c r="E38" s="21"/>
      <c r="F38" s="21"/>
    </row>
    <row r="39" spans="1:6" ht="23.1" customHeight="1">
      <c r="A39" s="81"/>
      <c r="B39" s="134"/>
      <c r="C39" s="82"/>
      <c r="D39" s="82"/>
      <c r="E39" s="82"/>
      <c r="F39" s="82"/>
    </row>
    <row r="40" spans="1:6" ht="23.1" customHeight="1">
      <c r="A40" s="15"/>
      <c r="B40" s="15"/>
      <c r="C40" s="16"/>
      <c r="D40" s="16"/>
      <c r="E40" s="16"/>
      <c r="F40" s="16"/>
    </row>
    <row r="41" spans="1:6" ht="23.1" customHeight="1">
      <c r="A41" s="91"/>
      <c r="B41" s="135"/>
      <c r="C41" s="132"/>
      <c r="D41" s="132"/>
      <c r="E41" s="132"/>
      <c r="F41" s="132"/>
    </row>
    <row r="42" spans="1:6" ht="23.1" customHeight="1"/>
    <row r="71" spans="1:6" ht="23.1" customHeight="1"/>
    <row r="72" spans="1:6" ht="23.1" customHeight="1">
      <c r="E72" s="1029"/>
      <c r="F72" s="1029"/>
    </row>
    <row r="73" spans="1:6" ht="23.1" customHeight="1">
      <c r="A73" s="1030"/>
      <c r="B73" s="1030"/>
      <c r="C73" s="1030"/>
      <c r="D73" s="1030"/>
      <c r="E73" s="1030"/>
      <c r="F73" s="1030"/>
    </row>
    <row r="74" spans="1:6" ht="23.1" customHeight="1">
      <c r="A74" s="1030"/>
      <c r="B74" s="1030"/>
      <c r="C74" s="1030"/>
      <c r="D74" s="1030"/>
      <c r="E74" s="1030"/>
      <c r="F74" s="1030"/>
    </row>
    <row r="75" spans="1:6" ht="23.1" customHeight="1">
      <c r="A75" s="10"/>
      <c r="B75" s="9"/>
      <c r="C75" s="12"/>
      <c r="D75" s="12"/>
      <c r="E75" s="12"/>
      <c r="F75" s="12"/>
    </row>
    <row r="76" spans="1:6" ht="23.1" customHeight="1">
      <c r="D76" s="1028"/>
      <c r="E76" s="1028"/>
      <c r="F76" s="1028"/>
    </row>
    <row r="77" spans="1:6" ht="23.1" customHeight="1">
      <c r="A77" s="13"/>
      <c r="B77" s="13"/>
      <c r="C77" s="14"/>
      <c r="D77" s="14"/>
      <c r="E77" s="14"/>
      <c r="F77" s="14"/>
    </row>
    <row r="78" spans="1:6" ht="23.1" customHeight="1">
      <c r="A78" s="15"/>
      <c r="B78" s="19"/>
      <c r="C78" s="16"/>
      <c r="D78" s="16"/>
      <c r="E78" s="16"/>
      <c r="F78" s="16"/>
    </row>
    <row r="79" spans="1:6" ht="23.1" customHeight="1">
      <c r="A79" s="81"/>
      <c r="B79" s="136"/>
      <c r="C79" s="82"/>
      <c r="D79" s="82"/>
      <c r="E79" s="82"/>
      <c r="F79" s="82"/>
    </row>
    <row r="80" spans="1:6" ht="23.1" customHeight="1">
      <c r="A80" s="91"/>
      <c r="B80" s="137"/>
      <c r="C80" s="132"/>
      <c r="D80" s="132"/>
      <c r="E80" s="132"/>
      <c r="F80" s="132"/>
    </row>
    <row r="81" ht="23.1" customHeight="1"/>
    <row r="82" ht="23.1" customHeight="1"/>
  </sheetData>
  <mergeCells count="21">
    <mergeCell ref="I13:L13"/>
    <mergeCell ref="E16:F16"/>
    <mergeCell ref="G13:H13"/>
    <mergeCell ref="G15:H15"/>
    <mergeCell ref="I15:K15"/>
    <mergeCell ref="G14:H14"/>
    <mergeCell ref="A1:B1"/>
    <mergeCell ref="E1:F1"/>
    <mergeCell ref="A6:F6"/>
    <mergeCell ref="D76:F76"/>
    <mergeCell ref="E31:F31"/>
    <mergeCell ref="E72:F72"/>
    <mergeCell ref="A32:F32"/>
    <mergeCell ref="A33:F33"/>
    <mergeCell ref="A74:F74"/>
    <mergeCell ref="A73:F73"/>
    <mergeCell ref="D35:F35"/>
    <mergeCell ref="E8:F8"/>
    <mergeCell ref="A4:F4"/>
    <mergeCell ref="A5:F5"/>
    <mergeCell ref="A7:F7"/>
  </mergeCells>
  <phoneticPr fontId="17" type="noConversion"/>
  <pageMargins left="0" right="0" top="0.75" bottom="0.75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O16" sqref="O16"/>
    </sheetView>
  </sheetViews>
  <sheetFormatPr defaultColWidth="9" defaultRowHeight="15"/>
  <cols>
    <col min="1" max="1" width="4.33203125" style="519" customWidth="1"/>
    <col min="2" max="2" width="17.88671875" style="519" customWidth="1"/>
    <col min="3" max="3" width="9.33203125" style="519" customWidth="1"/>
    <col min="4" max="4" width="10.109375" style="519" customWidth="1"/>
    <col min="5" max="5" width="11.77734375" style="519" customWidth="1"/>
    <col min="6" max="6" width="11" style="519" customWidth="1"/>
    <col min="7" max="7" width="9" style="519" customWidth="1"/>
    <col min="8" max="8" width="9.44140625" style="519" customWidth="1"/>
    <col min="9" max="9" width="7.21875" style="519" customWidth="1"/>
    <col min="10" max="10" width="12.44140625" style="519" customWidth="1"/>
    <col min="11" max="11" width="11.77734375" style="519" customWidth="1"/>
    <col min="12" max="12" width="11.109375" style="519" customWidth="1"/>
    <col min="13" max="13" width="11.33203125" style="519" customWidth="1"/>
    <col min="14" max="14" width="9.109375" style="519" customWidth="1"/>
    <col min="15" max="15" width="8.5546875" style="519" customWidth="1"/>
    <col min="16" max="16" width="11.33203125" style="519" customWidth="1"/>
    <col min="17" max="17" width="9.77734375" style="519" customWidth="1"/>
    <col min="18" max="18" width="9.33203125" style="519" customWidth="1"/>
    <col min="19" max="19" width="11" style="519" customWidth="1"/>
    <col min="20" max="20" width="8.77734375" style="519" customWidth="1"/>
    <col min="21" max="21" width="11.33203125" style="519" customWidth="1"/>
    <col min="22" max="22" width="10.5546875" style="519" customWidth="1"/>
    <col min="23" max="23" width="11" style="519" customWidth="1"/>
    <col min="24" max="16384" width="9" style="519"/>
  </cols>
  <sheetData>
    <row r="1" spans="1:24" ht="15.75">
      <c r="A1" s="867" t="s">
        <v>49</v>
      </c>
      <c r="B1" s="867"/>
      <c r="C1" s="606"/>
      <c r="D1" s="520"/>
      <c r="E1" s="520"/>
      <c r="F1" s="520"/>
      <c r="G1" s="520"/>
      <c r="H1" s="520"/>
      <c r="I1" s="520"/>
      <c r="J1" s="520"/>
      <c r="K1" s="520"/>
      <c r="L1" s="1039" t="s">
        <v>122</v>
      </c>
      <c r="M1" s="1039"/>
      <c r="N1" s="520"/>
      <c r="O1" s="520"/>
      <c r="P1" s="520"/>
      <c r="Q1" s="520"/>
      <c r="R1" s="520"/>
      <c r="S1" s="520"/>
      <c r="T1" s="520"/>
      <c r="U1" s="520"/>
      <c r="V1" s="520"/>
    </row>
    <row r="2" spans="1:24" ht="15.75">
      <c r="A2" s="228" t="s">
        <v>39</v>
      </c>
      <c r="B2" s="228"/>
      <c r="C2" s="607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1"/>
      <c r="X2" s="521"/>
    </row>
    <row r="3" spans="1:24" ht="15.75">
      <c r="C3" s="520"/>
      <c r="D3" s="520"/>
      <c r="E3" s="520"/>
      <c r="F3" s="522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</row>
    <row r="4" spans="1:24" ht="18.75">
      <c r="A4" s="1040" t="s">
        <v>182</v>
      </c>
      <c r="B4" s="1040"/>
      <c r="C4" s="1040"/>
      <c r="D4" s="1040"/>
      <c r="E4" s="1040"/>
      <c r="F4" s="1040"/>
      <c r="G4" s="1040"/>
      <c r="H4" s="1040"/>
      <c r="I4" s="1040"/>
      <c r="J4" s="1040"/>
      <c r="K4" s="1040"/>
      <c r="L4" s="1040"/>
      <c r="M4" s="1040"/>
      <c r="N4" s="523"/>
      <c r="O4" s="523"/>
      <c r="P4" s="523"/>
      <c r="Q4" s="523"/>
      <c r="R4" s="523"/>
      <c r="S4" s="523"/>
      <c r="T4" s="523"/>
      <c r="U4" s="523"/>
      <c r="V4" s="523"/>
      <c r="W4" s="523"/>
      <c r="X4" s="523"/>
    </row>
    <row r="5" spans="1:24" ht="18.75">
      <c r="A5" s="524"/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</row>
    <row r="6" spans="1:24">
      <c r="A6" s="525"/>
      <c r="B6" s="1041" t="s">
        <v>123</v>
      </c>
      <c r="C6" s="1041"/>
      <c r="D6" s="526"/>
      <c r="E6" s="525"/>
      <c r="F6" s="527"/>
      <c r="G6" s="525"/>
      <c r="H6" s="525"/>
      <c r="I6" s="525"/>
      <c r="J6" s="525"/>
      <c r="K6" s="1042" t="s">
        <v>99</v>
      </c>
      <c r="L6" s="1042"/>
      <c r="M6" s="1042"/>
      <c r="N6" s="525"/>
      <c r="O6" s="525"/>
      <c r="P6" s="528"/>
      <c r="Q6" s="528"/>
      <c r="R6" s="528"/>
      <c r="S6" s="529"/>
      <c r="T6" s="529"/>
      <c r="U6" s="529"/>
    </row>
    <row r="7" spans="1:24">
      <c r="A7" s="1051" t="s">
        <v>12</v>
      </c>
      <c r="B7" s="1053" t="s">
        <v>97</v>
      </c>
      <c r="C7" s="1048" t="s">
        <v>185</v>
      </c>
      <c r="D7" s="1049"/>
      <c r="E7" s="1049"/>
      <c r="F7" s="1049"/>
      <c r="G7" s="1049"/>
      <c r="H7" s="1050"/>
      <c r="I7" s="1043" t="s">
        <v>124</v>
      </c>
      <c r="J7" s="1044"/>
      <c r="K7" s="1044"/>
      <c r="L7" s="1044"/>
      <c r="M7" s="1045"/>
      <c r="N7" s="1048" t="s">
        <v>184</v>
      </c>
      <c r="O7" s="1049"/>
      <c r="P7" s="1049"/>
      <c r="Q7" s="1049"/>
      <c r="R7" s="1049"/>
      <c r="S7" s="1050"/>
      <c r="T7" s="1043" t="s">
        <v>183</v>
      </c>
      <c r="U7" s="1044"/>
      <c r="V7" s="1044"/>
      <c r="W7" s="1044"/>
      <c r="X7" s="1045"/>
    </row>
    <row r="8" spans="1:24">
      <c r="A8" s="1052"/>
      <c r="B8" s="1054"/>
      <c r="C8" s="1046" t="s">
        <v>125</v>
      </c>
      <c r="D8" s="1046" t="s">
        <v>126</v>
      </c>
      <c r="E8" s="1046" t="s">
        <v>127</v>
      </c>
      <c r="F8" s="1048" t="s">
        <v>46</v>
      </c>
      <c r="G8" s="1049"/>
      <c r="H8" s="1050"/>
      <c r="I8" s="1046" t="s">
        <v>125</v>
      </c>
      <c r="J8" s="1046" t="s">
        <v>127</v>
      </c>
      <c r="K8" s="1048" t="s">
        <v>46</v>
      </c>
      <c r="L8" s="1049"/>
      <c r="M8" s="1050"/>
      <c r="N8" s="1046" t="s">
        <v>125</v>
      </c>
      <c r="O8" s="1046" t="s">
        <v>126</v>
      </c>
      <c r="P8" s="1046" t="s">
        <v>127</v>
      </c>
      <c r="Q8" s="1048" t="s">
        <v>46</v>
      </c>
      <c r="R8" s="1049"/>
      <c r="S8" s="1050"/>
      <c r="T8" s="1046" t="s">
        <v>125</v>
      </c>
      <c r="U8" s="1046" t="s">
        <v>127</v>
      </c>
      <c r="V8" s="1048" t="s">
        <v>46</v>
      </c>
      <c r="W8" s="1049"/>
      <c r="X8" s="1050"/>
    </row>
    <row r="9" spans="1:24" ht="81" customHeight="1">
      <c r="A9" s="1052"/>
      <c r="B9" s="1055"/>
      <c r="C9" s="1047"/>
      <c r="D9" s="1047"/>
      <c r="E9" s="1047"/>
      <c r="F9" s="530" t="s">
        <v>128</v>
      </c>
      <c r="G9" s="530" t="s">
        <v>129</v>
      </c>
      <c r="H9" s="530" t="s">
        <v>130</v>
      </c>
      <c r="I9" s="1047"/>
      <c r="J9" s="1047"/>
      <c r="K9" s="530" t="s">
        <v>128</v>
      </c>
      <c r="L9" s="530" t="s">
        <v>129</v>
      </c>
      <c r="M9" s="530" t="s">
        <v>130</v>
      </c>
      <c r="N9" s="1047"/>
      <c r="O9" s="1047"/>
      <c r="P9" s="1047"/>
      <c r="Q9" s="530" t="s">
        <v>128</v>
      </c>
      <c r="R9" s="530" t="s">
        <v>129</v>
      </c>
      <c r="S9" s="530" t="s">
        <v>130</v>
      </c>
      <c r="T9" s="1047"/>
      <c r="U9" s="1047"/>
      <c r="V9" s="530" t="s">
        <v>128</v>
      </c>
      <c r="W9" s="530" t="s">
        <v>129</v>
      </c>
      <c r="X9" s="530" t="s">
        <v>130</v>
      </c>
    </row>
    <row r="10" spans="1:24">
      <c r="A10" s="531" t="s">
        <v>16</v>
      </c>
      <c r="B10" s="531" t="s">
        <v>17</v>
      </c>
      <c r="C10" s="532">
        <v>1</v>
      </c>
      <c r="D10" s="532">
        <v>2</v>
      </c>
      <c r="E10" s="532" t="s">
        <v>131</v>
      </c>
      <c r="F10" s="532">
        <v>4</v>
      </c>
      <c r="G10" s="532">
        <v>5</v>
      </c>
      <c r="H10" s="532">
        <v>6</v>
      </c>
      <c r="I10" s="532">
        <v>7</v>
      </c>
      <c r="J10" s="532" t="s">
        <v>132</v>
      </c>
      <c r="K10" s="532">
        <v>9</v>
      </c>
      <c r="L10" s="532">
        <v>10</v>
      </c>
      <c r="M10" s="532">
        <v>11</v>
      </c>
      <c r="N10" s="532">
        <v>12</v>
      </c>
      <c r="O10" s="532">
        <v>13</v>
      </c>
      <c r="P10" s="532" t="s">
        <v>133</v>
      </c>
      <c r="Q10" s="532">
        <v>15</v>
      </c>
      <c r="R10" s="532">
        <v>16</v>
      </c>
      <c r="S10" s="532">
        <v>17</v>
      </c>
      <c r="T10" s="532">
        <v>18</v>
      </c>
      <c r="U10" s="532" t="s">
        <v>134</v>
      </c>
      <c r="V10" s="532">
        <v>20</v>
      </c>
      <c r="W10" s="532">
        <v>21</v>
      </c>
      <c r="X10" s="532">
        <v>22</v>
      </c>
    </row>
    <row r="11" spans="1:24" ht="15.75">
      <c r="A11" s="533"/>
      <c r="B11" s="534" t="s">
        <v>106</v>
      </c>
      <c r="C11" s="535">
        <f>C12</f>
        <v>0</v>
      </c>
      <c r="D11" s="535">
        <f t="shared" ref="D11:X11" si="0">D12</f>
        <v>0</v>
      </c>
      <c r="E11" s="535">
        <f t="shared" si="0"/>
        <v>0</v>
      </c>
      <c r="F11" s="535">
        <f t="shared" si="0"/>
        <v>0</v>
      </c>
      <c r="G11" s="535">
        <f t="shared" si="0"/>
        <v>0</v>
      </c>
      <c r="H11" s="535">
        <f t="shared" si="0"/>
        <v>0</v>
      </c>
      <c r="I11" s="535">
        <f t="shared" si="0"/>
        <v>0</v>
      </c>
      <c r="J11" s="535">
        <f t="shared" si="0"/>
        <v>0</v>
      </c>
      <c r="K11" s="535">
        <f t="shared" si="0"/>
        <v>0</v>
      </c>
      <c r="L11" s="535">
        <f t="shared" si="0"/>
        <v>0</v>
      </c>
      <c r="M11" s="535">
        <f t="shared" si="0"/>
        <v>0</v>
      </c>
      <c r="N11" s="535">
        <f t="shared" si="0"/>
        <v>0</v>
      </c>
      <c r="O11" s="535">
        <f t="shared" si="0"/>
        <v>0</v>
      </c>
      <c r="P11" s="535">
        <f t="shared" si="0"/>
        <v>0</v>
      </c>
      <c r="Q11" s="535">
        <f t="shared" si="0"/>
        <v>0</v>
      </c>
      <c r="R11" s="535">
        <f t="shared" si="0"/>
        <v>0</v>
      </c>
      <c r="S11" s="535">
        <f t="shared" si="0"/>
        <v>0</v>
      </c>
      <c r="T11" s="535">
        <f t="shared" si="0"/>
        <v>0</v>
      </c>
      <c r="U11" s="535">
        <f t="shared" si="0"/>
        <v>0</v>
      </c>
      <c r="V11" s="535">
        <f t="shared" si="0"/>
        <v>0</v>
      </c>
      <c r="W11" s="535">
        <f t="shared" si="0"/>
        <v>0</v>
      </c>
      <c r="X11" s="535">
        <f t="shared" si="0"/>
        <v>0</v>
      </c>
    </row>
    <row r="12" spans="1:24">
      <c r="A12" s="536"/>
      <c r="B12" s="537"/>
      <c r="C12" s="538"/>
      <c r="D12" s="538"/>
      <c r="E12" s="538"/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  <c r="X12" s="538"/>
    </row>
    <row r="13" spans="1:24" ht="15.75">
      <c r="A13" s="539"/>
      <c r="B13" s="540"/>
      <c r="C13" s="541"/>
      <c r="D13" s="541"/>
      <c r="E13" s="541"/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41"/>
      <c r="Q13" s="541"/>
      <c r="R13" s="541"/>
      <c r="S13" s="541"/>
      <c r="T13" s="541"/>
      <c r="U13" s="541"/>
      <c r="V13" s="541"/>
      <c r="W13" s="541"/>
      <c r="X13" s="541"/>
    </row>
    <row r="14" spans="1:24" s="545" customFormat="1" ht="15.75">
      <c r="A14" s="542"/>
      <c r="B14" s="543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</row>
    <row r="15" spans="1:24" ht="15.75">
      <c r="A15" s="546"/>
      <c r="B15" s="547"/>
      <c r="C15" s="548"/>
      <c r="D15" s="548"/>
      <c r="E15" s="541"/>
      <c r="F15" s="548"/>
      <c r="G15" s="548"/>
      <c r="H15" s="548"/>
      <c r="I15" s="548"/>
      <c r="J15" s="541"/>
      <c r="K15" s="548"/>
      <c r="L15" s="548"/>
      <c r="M15" s="548"/>
      <c r="N15" s="541"/>
      <c r="O15" s="548"/>
      <c r="P15" s="541"/>
      <c r="Q15" s="548"/>
      <c r="R15" s="548"/>
      <c r="S15" s="548"/>
      <c r="T15" s="541"/>
      <c r="U15" s="544"/>
      <c r="V15" s="548"/>
      <c r="W15" s="548"/>
      <c r="X15" s="548"/>
    </row>
    <row r="16" spans="1:24" ht="15.75">
      <c r="A16" s="549"/>
      <c r="B16" s="549"/>
      <c r="C16" s="549"/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49"/>
      <c r="Q16" s="549"/>
      <c r="R16" s="549"/>
      <c r="S16" s="549"/>
      <c r="T16" s="549"/>
      <c r="U16" s="549"/>
      <c r="V16" s="549"/>
      <c r="W16" s="549"/>
      <c r="X16" s="549"/>
    </row>
    <row r="17" spans="1:24" ht="15.75">
      <c r="A17" s="550"/>
      <c r="B17" s="525"/>
      <c r="C17" s="551"/>
      <c r="D17" s="551"/>
      <c r="E17" s="551"/>
      <c r="F17" s="551"/>
      <c r="G17" s="551"/>
      <c r="H17" s="551"/>
      <c r="I17" s="551"/>
      <c r="J17" s="551"/>
      <c r="K17" s="551"/>
      <c r="L17" s="551"/>
      <c r="M17" s="551"/>
      <c r="N17" s="551"/>
      <c r="O17" s="551"/>
      <c r="P17" s="551"/>
      <c r="Q17" s="551"/>
      <c r="R17" s="551"/>
      <c r="S17" s="551"/>
      <c r="T17" s="551"/>
      <c r="U17" s="551"/>
      <c r="V17" s="551"/>
      <c r="W17" s="551"/>
      <c r="X17" s="551"/>
    </row>
    <row r="18" spans="1:24">
      <c r="A18" s="552"/>
      <c r="B18" s="552"/>
      <c r="C18" s="552"/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2"/>
      <c r="P18" s="552"/>
      <c r="Q18" s="552"/>
      <c r="R18" s="552"/>
      <c r="S18" s="552"/>
      <c r="T18" s="552"/>
      <c r="U18" s="552"/>
      <c r="V18" s="552"/>
      <c r="W18" s="552"/>
      <c r="X18" s="552"/>
    </row>
    <row r="19" spans="1:24">
      <c r="A19" s="525"/>
      <c r="B19" s="525"/>
      <c r="C19" s="525"/>
      <c r="D19" s="525"/>
      <c r="E19" s="553"/>
      <c r="F19" s="553"/>
      <c r="G19" s="553"/>
      <c r="H19" s="553"/>
      <c r="I19" s="553"/>
      <c r="J19" s="554"/>
      <c r="K19" s="553"/>
      <c r="L19" s="553"/>
      <c r="M19" s="553"/>
      <c r="N19" s="553"/>
      <c r="O19" s="553"/>
      <c r="P19" s="553"/>
      <c r="Q19" s="553"/>
      <c r="R19" s="553"/>
      <c r="S19" s="553"/>
      <c r="T19" s="553"/>
      <c r="U19" s="553"/>
      <c r="V19" s="553"/>
      <c r="W19" s="553"/>
      <c r="X19" s="553"/>
    </row>
    <row r="20" spans="1:24" ht="15.75">
      <c r="A20" s="867" t="s">
        <v>49</v>
      </c>
      <c r="B20" s="867"/>
      <c r="C20" s="606"/>
      <c r="D20" s="520"/>
      <c r="E20" s="520"/>
      <c r="F20" s="520"/>
      <c r="G20" s="520"/>
      <c r="H20" s="520"/>
      <c r="I20" s="520"/>
      <c r="J20" s="520"/>
      <c r="K20" s="520"/>
      <c r="L20" s="1039" t="s">
        <v>122</v>
      </c>
      <c r="M20" s="1039"/>
      <c r="N20" s="520"/>
      <c r="O20" s="520"/>
      <c r="P20" s="520"/>
      <c r="Q20" s="520"/>
      <c r="R20" s="520"/>
      <c r="S20" s="520"/>
      <c r="T20" s="520"/>
      <c r="U20" s="520"/>
      <c r="V20" s="520"/>
    </row>
    <row r="21" spans="1:24" ht="15.75">
      <c r="A21" s="228" t="s">
        <v>39</v>
      </c>
      <c r="B21" s="228"/>
      <c r="C21" s="607"/>
      <c r="D21" s="520"/>
      <c r="E21" s="520"/>
      <c r="F21" s="520"/>
      <c r="G21" s="520"/>
      <c r="H21" s="520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819"/>
      <c r="X21" s="819"/>
    </row>
    <row r="22" spans="1:24" ht="15.75">
      <c r="C22" s="520"/>
      <c r="D22" s="520"/>
      <c r="E22" s="520"/>
      <c r="F22" s="522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0"/>
      <c r="X22" s="520"/>
    </row>
    <row r="23" spans="1:24" ht="18.75">
      <c r="A23" s="1040" t="s">
        <v>182</v>
      </c>
      <c r="B23" s="1040"/>
      <c r="C23" s="1040"/>
      <c r="D23" s="1040"/>
      <c r="E23" s="1040"/>
      <c r="F23" s="1040"/>
      <c r="G23" s="1040"/>
      <c r="H23" s="1040"/>
      <c r="I23" s="1040"/>
      <c r="J23" s="1040"/>
      <c r="K23" s="1040"/>
      <c r="L23" s="1040"/>
      <c r="M23" s="1040"/>
      <c r="N23" s="523"/>
      <c r="O23" s="523"/>
      <c r="P23" s="523"/>
      <c r="Q23" s="523"/>
      <c r="R23" s="523"/>
      <c r="S23" s="523"/>
      <c r="T23" s="523"/>
      <c r="U23" s="523"/>
      <c r="V23" s="523"/>
      <c r="W23" s="523"/>
      <c r="X23" s="523"/>
    </row>
    <row r="24" spans="1:24" ht="18.75">
      <c r="A24" s="817"/>
      <c r="B24" s="817"/>
      <c r="C24" s="817"/>
      <c r="D24" s="817"/>
      <c r="E24" s="817"/>
      <c r="F24" s="817"/>
      <c r="G24" s="817"/>
      <c r="H24" s="817"/>
      <c r="I24" s="817"/>
      <c r="J24" s="817"/>
      <c r="K24" s="817"/>
      <c r="L24" s="817"/>
      <c r="M24" s="817"/>
      <c r="N24" s="817"/>
      <c r="O24" s="817"/>
      <c r="P24" s="817"/>
      <c r="Q24" s="817"/>
      <c r="R24" s="817"/>
      <c r="S24" s="817"/>
      <c r="T24" s="817"/>
      <c r="U24" s="817"/>
      <c r="V24" s="817"/>
      <c r="W24" s="817"/>
      <c r="X24" s="817"/>
    </row>
    <row r="25" spans="1:24">
      <c r="A25" s="525"/>
      <c r="B25" s="1041" t="s">
        <v>123</v>
      </c>
      <c r="C25" s="1041"/>
      <c r="D25" s="526"/>
      <c r="E25" s="525"/>
      <c r="F25" s="527"/>
      <c r="G25" s="525"/>
      <c r="H25" s="525"/>
      <c r="I25" s="525"/>
      <c r="J25" s="525"/>
      <c r="K25" s="1042" t="s">
        <v>99</v>
      </c>
      <c r="L25" s="1042"/>
      <c r="M25" s="1042"/>
      <c r="N25" s="525"/>
      <c r="O25" s="525"/>
      <c r="P25" s="528"/>
      <c r="Q25" s="528"/>
      <c r="R25" s="528"/>
      <c r="S25" s="529"/>
      <c r="T25" s="529"/>
      <c r="U25" s="529"/>
    </row>
    <row r="26" spans="1:24">
      <c r="A26" s="1051" t="s">
        <v>12</v>
      </c>
      <c r="B26" s="1053" t="s">
        <v>97</v>
      </c>
      <c r="C26" s="1048" t="s">
        <v>185</v>
      </c>
      <c r="D26" s="1049"/>
      <c r="E26" s="1049"/>
      <c r="F26" s="1049"/>
      <c r="G26" s="1049"/>
      <c r="H26" s="1050"/>
      <c r="I26" s="1043" t="s">
        <v>124</v>
      </c>
      <c r="J26" s="1044"/>
      <c r="K26" s="1044"/>
      <c r="L26" s="1044"/>
      <c r="M26" s="1045"/>
      <c r="N26" s="1048" t="s">
        <v>184</v>
      </c>
      <c r="O26" s="1049"/>
      <c r="P26" s="1049"/>
      <c r="Q26" s="1049"/>
      <c r="R26" s="1049"/>
      <c r="S26" s="1050"/>
      <c r="T26" s="1043" t="s">
        <v>183</v>
      </c>
      <c r="U26" s="1044"/>
      <c r="V26" s="1044"/>
      <c r="W26" s="1044"/>
      <c r="X26" s="1045"/>
    </row>
    <row r="27" spans="1:24">
      <c r="A27" s="1052"/>
      <c r="B27" s="1054"/>
      <c r="C27" s="1046" t="s">
        <v>125</v>
      </c>
      <c r="D27" s="1046" t="s">
        <v>126</v>
      </c>
      <c r="E27" s="1046" t="s">
        <v>127</v>
      </c>
      <c r="F27" s="1048" t="s">
        <v>46</v>
      </c>
      <c r="G27" s="1049"/>
      <c r="H27" s="1050"/>
      <c r="I27" s="1046" t="s">
        <v>125</v>
      </c>
      <c r="J27" s="1046" t="s">
        <v>127</v>
      </c>
      <c r="K27" s="1048" t="s">
        <v>46</v>
      </c>
      <c r="L27" s="1049"/>
      <c r="M27" s="1050"/>
      <c r="N27" s="1046" t="s">
        <v>125</v>
      </c>
      <c r="O27" s="1046" t="s">
        <v>126</v>
      </c>
      <c r="P27" s="1046" t="s">
        <v>127</v>
      </c>
      <c r="Q27" s="1048" t="s">
        <v>46</v>
      </c>
      <c r="R27" s="1049"/>
      <c r="S27" s="1050"/>
      <c r="T27" s="1046" t="s">
        <v>125</v>
      </c>
      <c r="U27" s="1046" t="s">
        <v>127</v>
      </c>
      <c r="V27" s="1048" t="s">
        <v>46</v>
      </c>
      <c r="W27" s="1049"/>
      <c r="X27" s="1050"/>
    </row>
    <row r="28" spans="1:24" ht="38.25">
      <c r="A28" s="1052"/>
      <c r="B28" s="1055"/>
      <c r="C28" s="1047"/>
      <c r="D28" s="1047"/>
      <c r="E28" s="1047"/>
      <c r="F28" s="816" t="s">
        <v>128</v>
      </c>
      <c r="G28" s="816" t="s">
        <v>129</v>
      </c>
      <c r="H28" s="816" t="s">
        <v>130</v>
      </c>
      <c r="I28" s="1047"/>
      <c r="J28" s="1047"/>
      <c r="K28" s="816" t="s">
        <v>128</v>
      </c>
      <c r="L28" s="816" t="s">
        <v>129</v>
      </c>
      <c r="M28" s="816" t="s">
        <v>130</v>
      </c>
      <c r="N28" s="1047"/>
      <c r="O28" s="1047"/>
      <c r="P28" s="1047"/>
      <c r="Q28" s="816" t="s">
        <v>128</v>
      </c>
      <c r="R28" s="816" t="s">
        <v>129</v>
      </c>
      <c r="S28" s="816" t="s">
        <v>130</v>
      </c>
      <c r="T28" s="1047"/>
      <c r="U28" s="1047"/>
      <c r="V28" s="816" t="s">
        <v>128</v>
      </c>
      <c r="W28" s="816" t="s">
        <v>129</v>
      </c>
      <c r="X28" s="816" t="s">
        <v>130</v>
      </c>
    </row>
    <row r="29" spans="1:24">
      <c r="A29" s="531" t="s">
        <v>16</v>
      </c>
      <c r="B29" s="531" t="s">
        <v>17</v>
      </c>
      <c r="C29" s="532">
        <v>1</v>
      </c>
      <c r="D29" s="532">
        <v>2</v>
      </c>
      <c r="E29" s="532" t="s">
        <v>131</v>
      </c>
      <c r="F29" s="532">
        <v>4</v>
      </c>
      <c r="G29" s="532">
        <v>5</v>
      </c>
      <c r="H29" s="532">
        <v>6</v>
      </c>
      <c r="I29" s="532">
        <v>7</v>
      </c>
      <c r="J29" s="532" t="s">
        <v>132</v>
      </c>
      <c r="K29" s="532">
        <v>9</v>
      </c>
      <c r="L29" s="532">
        <v>10</v>
      </c>
      <c r="M29" s="532">
        <v>11</v>
      </c>
      <c r="N29" s="532">
        <v>12</v>
      </c>
      <c r="O29" s="532">
        <v>13</v>
      </c>
      <c r="P29" s="532" t="s">
        <v>133</v>
      </c>
      <c r="Q29" s="532">
        <v>15</v>
      </c>
      <c r="R29" s="532">
        <v>16</v>
      </c>
      <c r="S29" s="532">
        <v>17</v>
      </c>
      <c r="T29" s="532">
        <v>18</v>
      </c>
      <c r="U29" s="532" t="s">
        <v>134</v>
      </c>
      <c r="V29" s="532">
        <v>20</v>
      </c>
      <c r="W29" s="532">
        <v>21</v>
      </c>
      <c r="X29" s="532">
        <v>22</v>
      </c>
    </row>
    <row r="30" spans="1:24" ht="15.75">
      <c r="A30" s="533"/>
      <c r="B30" s="534" t="s">
        <v>106</v>
      </c>
      <c r="C30" s="535">
        <v>40</v>
      </c>
      <c r="D30" s="535">
        <f t="shared" ref="D30:X30" si="1">D31</f>
        <v>33</v>
      </c>
      <c r="E30" s="535">
        <f>SUM(E31:E34)</f>
        <v>26069.8</v>
      </c>
      <c r="F30" s="535">
        <f>SUM(F31:F34)</f>
        <v>9862.7999999999993</v>
      </c>
      <c r="G30" s="535">
        <f>SUM(G31:G34)</f>
        <v>13824</v>
      </c>
      <c r="H30" s="535">
        <f>SUM(H31:H34)</f>
        <v>2383</v>
      </c>
      <c r="I30" s="535"/>
      <c r="J30" s="535">
        <f>SUM(J31:J34)</f>
        <v>21233</v>
      </c>
      <c r="K30" s="535">
        <f>SUM(K31:K34)</f>
        <v>12597</v>
      </c>
      <c r="L30" s="535">
        <f>SUM(L31:L34)</f>
        <v>5612</v>
      </c>
      <c r="M30" s="535">
        <f>SUM(M31:M34)</f>
        <v>3024</v>
      </c>
      <c r="N30" s="535"/>
      <c r="O30" s="535"/>
      <c r="P30" s="535">
        <f>SUM(P31:P34)</f>
        <v>21233</v>
      </c>
      <c r="Q30" s="535">
        <f>SUM(Q31:Q34)</f>
        <v>12597</v>
      </c>
      <c r="R30" s="535">
        <f>SUM(R31:R34)</f>
        <v>5612</v>
      </c>
      <c r="S30" s="535">
        <f>SUM(S31:S34)</f>
        <v>3024</v>
      </c>
      <c r="T30" s="535"/>
      <c r="U30" s="535">
        <f t="shared" si="1"/>
        <v>0</v>
      </c>
      <c r="V30" s="535">
        <f t="shared" si="1"/>
        <v>0</v>
      </c>
      <c r="W30" s="535">
        <f t="shared" si="1"/>
        <v>0</v>
      </c>
      <c r="X30" s="535">
        <f t="shared" si="1"/>
        <v>0</v>
      </c>
    </row>
    <row r="31" spans="1:24">
      <c r="A31" s="536"/>
      <c r="B31" s="1092" t="s">
        <v>463</v>
      </c>
      <c r="C31" s="538">
        <v>40</v>
      </c>
      <c r="D31" s="538">
        <v>33</v>
      </c>
      <c r="E31" s="538">
        <f>F31+G31+H31</f>
        <v>5992.8</v>
      </c>
      <c r="F31" s="538">
        <f>2259.8</f>
        <v>2259.8000000000002</v>
      </c>
      <c r="G31" s="538">
        <v>3179</v>
      </c>
      <c r="H31" s="538">
        <v>554</v>
      </c>
      <c r="I31" s="538">
        <v>40</v>
      </c>
      <c r="J31" s="538">
        <f>K31+L31+M31</f>
        <v>5009</v>
      </c>
      <c r="K31" s="538">
        <v>2882</v>
      </c>
      <c r="L31" s="538">
        <v>1421</v>
      </c>
      <c r="M31" s="538">
        <v>706</v>
      </c>
      <c r="N31" s="538">
        <v>40</v>
      </c>
      <c r="O31" s="538">
        <v>35</v>
      </c>
      <c r="P31" s="538">
        <f>Q31+R31+S31</f>
        <v>5009</v>
      </c>
      <c r="Q31" s="538">
        <v>2882</v>
      </c>
      <c r="R31" s="538">
        <v>1421</v>
      </c>
      <c r="S31" s="538">
        <v>706</v>
      </c>
      <c r="T31" s="538">
        <v>40</v>
      </c>
      <c r="U31" s="538"/>
      <c r="V31" s="538"/>
      <c r="W31" s="538"/>
      <c r="X31" s="538"/>
    </row>
    <row r="32" spans="1:24" ht="15.75">
      <c r="A32" s="539"/>
      <c r="B32" s="540" t="s">
        <v>464</v>
      </c>
      <c r="C32" s="541">
        <v>7</v>
      </c>
      <c r="D32" s="541">
        <v>7</v>
      </c>
      <c r="E32" s="538">
        <f t="shared" ref="E32:E34" si="2">F32+G32+H32</f>
        <v>833</v>
      </c>
      <c r="F32" s="541">
        <v>505</v>
      </c>
      <c r="G32" s="541">
        <v>204</v>
      </c>
      <c r="H32" s="541">
        <v>124</v>
      </c>
      <c r="I32" s="541">
        <v>7</v>
      </c>
      <c r="J32" s="538">
        <f t="shared" ref="J32:J34" si="3">K32+L32+M32</f>
        <v>1262</v>
      </c>
      <c r="K32" s="541">
        <v>837</v>
      </c>
      <c r="L32" s="541">
        <v>262</v>
      </c>
      <c r="M32" s="541">
        <v>163</v>
      </c>
      <c r="N32" s="541">
        <v>7</v>
      </c>
      <c r="O32" s="541">
        <v>7</v>
      </c>
      <c r="P32" s="538">
        <f t="shared" ref="P32:P34" si="4">Q32+R32+S32</f>
        <v>1262</v>
      </c>
      <c r="Q32" s="541">
        <v>837</v>
      </c>
      <c r="R32" s="541">
        <v>262</v>
      </c>
      <c r="S32" s="541">
        <v>163</v>
      </c>
      <c r="T32" s="541">
        <v>7</v>
      </c>
      <c r="U32" s="541"/>
      <c r="V32" s="541"/>
      <c r="W32" s="541"/>
      <c r="X32" s="541"/>
    </row>
    <row r="33" spans="1:24" ht="15.75">
      <c r="A33" s="542"/>
      <c r="B33" s="543" t="s">
        <v>465</v>
      </c>
      <c r="C33" s="544">
        <v>16</v>
      </c>
      <c r="D33" s="544">
        <v>13</v>
      </c>
      <c r="E33" s="538">
        <f t="shared" si="2"/>
        <v>1152</v>
      </c>
      <c r="F33" s="544">
        <v>750</v>
      </c>
      <c r="G33" s="544">
        <v>225</v>
      </c>
      <c r="H33" s="544">
        <v>177</v>
      </c>
      <c r="I33" s="544">
        <v>16</v>
      </c>
      <c r="J33" s="538">
        <f t="shared" si="3"/>
        <v>1606</v>
      </c>
      <c r="K33" s="544">
        <v>1043</v>
      </c>
      <c r="L33" s="544">
        <v>312</v>
      </c>
      <c r="M33" s="544">
        <v>251</v>
      </c>
      <c r="N33" s="544">
        <v>15</v>
      </c>
      <c r="O33" s="544">
        <v>15</v>
      </c>
      <c r="P33" s="538">
        <f t="shared" si="4"/>
        <v>1606</v>
      </c>
      <c r="Q33" s="544">
        <v>1043</v>
      </c>
      <c r="R33" s="544">
        <v>312</v>
      </c>
      <c r="S33" s="544">
        <v>251</v>
      </c>
      <c r="T33" s="544">
        <v>16</v>
      </c>
      <c r="U33" s="544"/>
      <c r="V33" s="544"/>
      <c r="W33" s="544"/>
      <c r="X33" s="544"/>
    </row>
    <row r="34" spans="1:24" ht="15.75">
      <c r="A34" s="546"/>
      <c r="B34" s="547" t="s">
        <v>466</v>
      </c>
      <c r="C34" s="548">
        <v>92</v>
      </c>
      <c r="D34" s="548">
        <v>89</v>
      </c>
      <c r="E34" s="538">
        <f t="shared" si="2"/>
        <v>18092</v>
      </c>
      <c r="F34" s="548">
        <v>6348</v>
      </c>
      <c r="G34" s="548">
        <v>10216</v>
      </c>
      <c r="H34" s="548">
        <v>1528</v>
      </c>
      <c r="I34" s="548">
        <v>92</v>
      </c>
      <c r="J34" s="538">
        <f t="shared" si="3"/>
        <v>13356</v>
      </c>
      <c r="K34" s="548">
        <v>7835</v>
      </c>
      <c r="L34" s="548">
        <v>3617</v>
      </c>
      <c r="M34" s="548">
        <v>1904</v>
      </c>
      <c r="N34" s="541">
        <v>85</v>
      </c>
      <c r="O34" s="548">
        <v>85</v>
      </c>
      <c r="P34" s="538">
        <f t="shared" si="4"/>
        <v>13356</v>
      </c>
      <c r="Q34" s="548">
        <v>7835</v>
      </c>
      <c r="R34" s="548">
        <v>3617</v>
      </c>
      <c r="S34" s="548">
        <v>1904</v>
      </c>
      <c r="T34" s="541">
        <v>92</v>
      </c>
      <c r="U34" s="544"/>
      <c r="V34" s="548"/>
      <c r="W34" s="548"/>
      <c r="X34" s="548"/>
    </row>
  </sheetData>
  <mergeCells count="50">
    <mergeCell ref="T26:X26"/>
    <mergeCell ref="C27:C28"/>
    <mergeCell ref="D27:D28"/>
    <mergeCell ref="E27:E28"/>
    <mergeCell ref="F27:H27"/>
    <mergeCell ref="I27:I28"/>
    <mergeCell ref="J27:J28"/>
    <mergeCell ref="K27:M27"/>
    <mergeCell ref="N27:N28"/>
    <mergeCell ref="O27:O28"/>
    <mergeCell ref="P27:P28"/>
    <mergeCell ref="Q27:S27"/>
    <mergeCell ref="T27:T28"/>
    <mergeCell ref="U27:U28"/>
    <mergeCell ref="V27:X27"/>
    <mergeCell ref="A26:A28"/>
    <mergeCell ref="B26:B28"/>
    <mergeCell ref="C26:H26"/>
    <mergeCell ref="I26:M26"/>
    <mergeCell ref="N26:S26"/>
    <mergeCell ref="A20:B20"/>
    <mergeCell ref="L20:M20"/>
    <mergeCell ref="A23:M23"/>
    <mergeCell ref="B25:C25"/>
    <mergeCell ref="K25:M25"/>
    <mergeCell ref="A7:A9"/>
    <mergeCell ref="B7:B9"/>
    <mergeCell ref="C7:H7"/>
    <mergeCell ref="I7:M7"/>
    <mergeCell ref="N7:S7"/>
    <mergeCell ref="Q8:S8"/>
    <mergeCell ref="I8:I9"/>
    <mergeCell ref="J8:J9"/>
    <mergeCell ref="K8:M8"/>
    <mergeCell ref="N8:N9"/>
    <mergeCell ref="O8:O9"/>
    <mergeCell ref="P8:P9"/>
    <mergeCell ref="T7:X7"/>
    <mergeCell ref="C8:C9"/>
    <mergeCell ref="D8:D9"/>
    <mergeCell ref="E8:E9"/>
    <mergeCell ref="F8:H8"/>
    <mergeCell ref="T8:T9"/>
    <mergeCell ref="U8:U9"/>
    <mergeCell ref="V8:X8"/>
    <mergeCell ref="L1:M1"/>
    <mergeCell ref="A4:M4"/>
    <mergeCell ref="B6:C6"/>
    <mergeCell ref="K6:M6"/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abSelected="1" workbookViewId="0">
      <selection activeCell="AN26" sqref="AN26"/>
    </sheetView>
  </sheetViews>
  <sheetFormatPr defaultColWidth="9" defaultRowHeight="18.75"/>
  <cols>
    <col min="1" max="1" width="5.44140625" style="27" customWidth="1"/>
    <col min="2" max="2" width="22.33203125" style="27" customWidth="1"/>
    <col min="3" max="3" width="9.109375" style="27" customWidth="1"/>
    <col min="4" max="4" width="10.5546875" style="27" customWidth="1"/>
    <col min="5" max="5" width="11.44140625" style="27" customWidth="1"/>
    <col min="6" max="6" width="10.44140625" style="27" customWidth="1"/>
    <col min="7" max="7" width="10.21875" style="27" customWidth="1"/>
    <col min="8" max="8" width="10" style="27" customWidth="1"/>
    <col min="9" max="9" width="11.77734375" style="27" customWidth="1"/>
    <col min="10" max="10" width="10.33203125" style="27" customWidth="1"/>
    <col min="11" max="11" width="10" style="27" customWidth="1"/>
    <col min="12" max="12" width="9.44140625" style="27" customWidth="1"/>
    <col min="13" max="13" width="7.5546875" style="27" customWidth="1"/>
    <col min="14" max="14" width="7.44140625" style="27" customWidth="1"/>
    <col min="15" max="15" width="9.33203125" style="588" customWidth="1"/>
    <col min="16" max="16" width="7.5546875" style="588" customWidth="1"/>
    <col min="17" max="17" width="10.5546875" style="27" customWidth="1"/>
    <col min="18" max="18" width="10.109375" style="27" customWidth="1"/>
    <col min="19" max="19" width="9" style="27" customWidth="1"/>
    <col min="20" max="20" width="8.21875" style="27" customWidth="1"/>
    <col min="21" max="21" width="9.109375" style="27" customWidth="1"/>
    <col min="22" max="22" width="12.109375" style="27" customWidth="1"/>
    <col min="23" max="24" width="8.77734375" style="27" customWidth="1"/>
    <col min="25" max="26" width="6.77734375" style="27" customWidth="1"/>
    <col min="27" max="27" width="10" style="588" customWidth="1"/>
    <col min="28" max="28" width="11.77734375" style="588" customWidth="1"/>
    <col min="29" max="29" width="12.77734375" style="27" customWidth="1"/>
    <col min="30" max="30" width="10.33203125" style="27" customWidth="1"/>
    <col min="31" max="31" width="9.77734375" style="27" customWidth="1"/>
    <col min="32" max="32" width="10.109375" style="27" customWidth="1"/>
    <col min="33" max="33" width="12" style="27" customWidth="1"/>
    <col min="34" max="34" width="10.109375" style="27" customWidth="1"/>
    <col min="35" max="35" width="10.21875" style="27" customWidth="1"/>
    <col min="36" max="36" width="6.77734375" style="27" customWidth="1"/>
    <col min="37" max="37" width="7.109375" style="27" customWidth="1"/>
    <col min="38" max="38" width="12.77734375" style="27" bestFit="1" customWidth="1"/>
    <col min="39" max="39" width="11.77734375" style="27" bestFit="1" customWidth="1"/>
    <col min="40" max="16384" width="9" style="27"/>
  </cols>
  <sheetData>
    <row r="1" spans="1:38">
      <c r="A1" s="867" t="s">
        <v>49</v>
      </c>
      <c r="B1" s="867"/>
      <c r="C1" s="606"/>
      <c r="D1" s="520"/>
      <c r="E1" s="520"/>
      <c r="F1" s="520"/>
      <c r="G1" s="520"/>
      <c r="H1" s="520"/>
      <c r="I1" s="520"/>
      <c r="J1" s="520"/>
      <c r="K1" s="1039" t="s">
        <v>135</v>
      </c>
      <c r="L1" s="1039"/>
      <c r="M1" s="520"/>
      <c r="N1" s="520"/>
      <c r="O1" s="555"/>
      <c r="P1" s="555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55"/>
      <c r="AB1" s="555"/>
      <c r="AC1" s="520"/>
      <c r="AD1" s="520"/>
      <c r="AE1" s="520"/>
      <c r="AF1" s="520"/>
      <c r="AG1" s="520"/>
      <c r="AH1" s="520"/>
      <c r="AI1" s="520"/>
      <c r="AJ1" s="1056" t="s">
        <v>135</v>
      </c>
      <c r="AK1" s="1056"/>
    </row>
    <row r="2" spans="1:38">
      <c r="A2" s="228" t="s">
        <v>39</v>
      </c>
      <c r="B2" s="228"/>
      <c r="C2" s="607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55"/>
      <c r="P2" s="555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55"/>
      <c r="AB2" s="555"/>
      <c r="AC2" s="520"/>
      <c r="AD2" s="520"/>
      <c r="AE2" s="520"/>
      <c r="AF2" s="520"/>
      <c r="AG2" s="520"/>
      <c r="AH2" s="520"/>
      <c r="AI2" s="520"/>
      <c r="AJ2" s="521"/>
      <c r="AK2" s="521"/>
    </row>
    <row r="3" spans="1:38">
      <c r="A3" s="1041"/>
      <c r="B3" s="1041"/>
      <c r="C3" s="520"/>
      <c r="D3" s="520"/>
      <c r="E3" s="520"/>
      <c r="F3" s="522"/>
      <c r="G3" s="520"/>
      <c r="H3" s="520"/>
      <c r="I3" s="520"/>
      <c r="J3" s="520"/>
      <c r="K3" s="520"/>
      <c r="L3" s="520"/>
      <c r="M3" s="520"/>
      <c r="N3" s="520"/>
      <c r="O3" s="555"/>
      <c r="P3" s="555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55"/>
      <c r="AB3" s="555"/>
      <c r="AC3" s="520"/>
      <c r="AD3" s="520"/>
      <c r="AE3" s="520"/>
      <c r="AF3" s="520"/>
      <c r="AG3" s="520"/>
      <c r="AH3" s="520"/>
      <c r="AI3" s="520"/>
      <c r="AJ3" s="520"/>
      <c r="AK3" s="520"/>
    </row>
    <row r="4" spans="1:38">
      <c r="A4" s="1040" t="s">
        <v>136</v>
      </c>
      <c r="B4" s="1040"/>
      <c r="C4" s="1040"/>
      <c r="D4" s="1040"/>
      <c r="E4" s="1040"/>
      <c r="F4" s="1040"/>
      <c r="G4" s="1040"/>
      <c r="H4" s="1040"/>
      <c r="I4" s="1040"/>
      <c r="J4" s="1040"/>
      <c r="K4" s="1040"/>
      <c r="L4" s="1040"/>
      <c r="M4" s="1040"/>
      <c r="N4" s="523"/>
      <c r="O4" s="556"/>
      <c r="P4" s="556"/>
      <c r="Q4" s="523"/>
      <c r="R4" s="523"/>
      <c r="S4" s="523"/>
      <c r="T4" s="523"/>
      <c r="U4" s="523"/>
      <c r="V4" s="523"/>
      <c r="W4" s="523"/>
      <c r="X4" s="523"/>
      <c r="Y4" s="523"/>
      <c r="Z4" s="523"/>
      <c r="AA4" s="556"/>
      <c r="AB4" s="556"/>
      <c r="AC4" s="523"/>
      <c r="AD4" s="523"/>
      <c r="AE4" s="523"/>
      <c r="AF4" s="523"/>
      <c r="AG4" s="523"/>
      <c r="AH4" s="523"/>
      <c r="AI4" s="523"/>
      <c r="AJ4" s="523"/>
      <c r="AK4" s="523"/>
    </row>
    <row r="5" spans="1:38">
      <c r="A5" s="1040" t="s">
        <v>186</v>
      </c>
      <c r="B5" s="1040"/>
      <c r="C5" s="1040"/>
      <c r="D5" s="1040"/>
      <c r="E5" s="1040"/>
      <c r="F5" s="1040"/>
      <c r="G5" s="1040"/>
      <c r="H5" s="1040"/>
      <c r="I5" s="1040"/>
      <c r="J5" s="1040"/>
      <c r="K5" s="1040"/>
      <c r="L5" s="1040"/>
      <c r="M5" s="1040"/>
      <c r="N5" s="523"/>
      <c r="O5" s="556"/>
      <c r="P5" s="556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56"/>
      <c r="AB5" s="556"/>
      <c r="AC5" s="523"/>
      <c r="AD5" s="523"/>
      <c r="AE5" s="523"/>
      <c r="AF5" s="523"/>
      <c r="AG5" s="523"/>
      <c r="AH5" s="523"/>
      <c r="AI5" s="523"/>
      <c r="AJ5" s="523"/>
      <c r="AK5" s="523"/>
    </row>
    <row r="6" spans="1:38">
      <c r="A6" s="523"/>
      <c r="B6" s="523"/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56"/>
      <c r="P6" s="556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56"/>
      <c r="AB6" s="556"/>
      <c r="AC6" s="523"/>
      <c r="AD6" s="523"/>
      <c r="AE6" s="523"/>
      <c r="AF6" s="523"/>
      <c r="AG6" s="523"/>
      <c r="AH6" s="523"/>
      <c r="AI6" s="523"/>
      <c r="AJ6" s="523"/>
      <c r="AK6" s="523"/>
    </row>
    <row r="7" spans="1:38">
      <c r="A7" s="529"/>
      <c r="B7" s="1041" t="s">
        <v>123</v>
      </c>
      <c r="C7" s="1041"/>
      <c r="D7" s="526"/>
      <c r="E7" s="529"/>
      <c r="F7" s="527"/>
      <c r="G7" s="529"/>
      <c r="H7" s="529"/>
      <c r="I7" s="529"/>
      <c r="J7" s="529"/>
      <c r="K7" s="1042" t="s">
        <v>99</v>
      </c>
      <c r="L7" s="1042"/>
      <c r="M7" s="1042"/>
      <c r="N7" s="528"/>
      <c r="O7" s="557"/>
      <c r="P7" s="557"/>
      <c r="Q7" s="527"/>
      <c r="R7" s="529"/>
      <c r="S7" s="558"/>
      <c r="T7" s="529"/>
      <c r="U7" s="558"/>
      <c r="V7" s="528"/>
      <c r="W7" s="559"/>
      <c r="X7" s="560"/>
      <c r="Y7" s="561"/>
      <c r="Z7" s="558"/>
      <c r="AA7" s="557"/>
      <c r="AB7" s="557"/>
      <c r="AC7" s="529"/>
      <c r="AD7" s="529"/>
      <c r="AE7" s="558">
        <f>AG7-AB13</f>
        <v>0</v>
      </c>
      <c r="AF7" s="529"/>
      <c r="AG7" s="558">
        <f>AH13+AI13+AJ13+AK13</f>
        <v>0</v>
      </c>
    </row>
    <row r="8" spans="1:38">
      <c r="A8" s="1051" t="s">
        <v>12</v>
      </c>
      <c r="B8" s="1057" t="s">
        <v>97</v>
      </c>
      <c r="C8" s="1048" t="s">
        <v>124</v>
      </c>
      <c r="D8" s="1049"/>
      <c r="E8" s="1049"/>
      <c r="F8" s="1049"/>
      <c r="G8" s="1049"/>
      <c r="H8" s="1049"/>
      <c r="I8" s="1049"/>
      <c r="J8" s="1049"/>
      <c r="K8" s="1049"/>
      <c r="L8" s="1049"/>
      <c r="M8" s="1050"/>
      <c r="N8" s="1043"/>
      <c r="O8" s="1044"/>
      <c r="P8" s="1044"/>
      <c r="Q8" s="1044"/>
      <c r="R8" s="1048" t="s">
        <v>184</v>
      </c>
      <c r="S8" s="1049"/>
      <c r="T8" s="1049"/>
      <c r="U8" s="1049"/>
      <c r="V8" s="1049"/>
      <c r="W8" s="1049"/>
      <c r="X8" s="1049"/>
      <c r="Y8" s="1049"/>
      <c r="Z8" s="1050"/>
      <c r="AA8" s="1048" t="s">
        <v>183</v>
      </c>
      <c r="AB8" s="1049"/>
      <c r="AC8" s="1049"/>
      <c r="AD8" s="1049"/>
      <c r="AE8" s="1049"/>
      <c r="AF8" s="1049"/>
      <c r="AG8" s="1049"/>
      <c r="AH8" s="1049"/>
      <c r="AI8" s="1049"/>
      <c r="AJ8" s="1049"/>
      <c r="AK8" s="1050"/>
    </row>
    <row r="9" spans="1:38">
      <c r="A9" s="1052"/>
      <c r="B9" s="1058"/>
      <c r="C9" s="1046" t="s">
        <v>137</v>
      </c>
      <c r="D9" s="1046" t="s">
        <v>138</v>
      </c>
      <c r="E9" s="1048" t="s">
        <v>46</v>
      </c>
      <c r="F9" s="1049"/>
      <c r="G9" s="1049"/>
      <c r="H9" s="1049"/>
      <c r="I9" s="1050"/>
      <c r="J9" s="1048" t="s">
        <v>139</v>
      </c>
      <c r="K9" s="1049"/>
      <c r="L9" s="1049"/>
      <c r="M9" s="1050"/>
      <c r="N9" s="1046" t="s">
        <v>137</v>
      </c>
      <c r="O9" s="1061" t="s">
        <v>140</v>
      </c>
      <c r="P9" s="1061" t="s">
        <v>141</v>
      </c>
      <c r="Q9" s="1046" t="s">
        <v>142</v>
      </c>
      <c r="R9" s="1048" t="s">
        <v>46</v>
      </c>
      <c r="S9" s="1049"/>
      <c r="T9" s="1049"/>
      <c r="U9" s="1049"/>
      <c r="V9" s="1050"/>
      <c r="W9" s="1048" t="s">
        <v>139</v>
      </c>
      <c r="X9" s="1049"/>
      <c r="Y9" s="1049"/>
      <c r="Z9" s="1050"/>
      <c r="AA9" s="1061" t="s">
        <v>137</v>
      </c>
      <c r="AB9" s="1061" t="s">
        <v>138</v>
      </c>
      <c r="AC9" s="1048" t="s">
        <v>46</v>
      </c>
      <c r="AD9" s="1049"/>
      <c r="AE9" s="1049"/>
      <c r="AF9" s="1049"/>
      <c r="AG9" s="1050"/>
      <c r="AH9" s="1048" t="s">
        <v>139</v>
      </c>
      <c r="AI9" s="1049"/>
      <c r="AJ9" s="1049"/>
      <c r="AK9" s="1050"/>
    </row>
    <row r="10" spans="1:38" ht="30" customHeight="1">
      <c r="A10" s="1052"/>
      <c r="B10" s="1058"/>
      <c r="C10" s="1047"/>
      <c r="D10" s="1047"/>
      <c r="E10" s="1048" t="s">
        <v>143</v>
      </c>
      <c r="F10" s="1049"/>
      <c r="G10" s="1049"/>
      <c r="H10" s="1050"/>
      <c r="I10" s="1046" t="s">
        <v>144</v>
      </c>
      <c r="J10" s="1046" t="s">
        <v>145</v>
      </c>
      <c r="K10" s="1046" t="s">
        <v>146</v>
      </c>
      <c r="L10" s="1046" t="s">
        <v>147</v>
      </c>
      <c r="M10" s="1046" t="s">
        <v>148</v>
      </c>
      <c r="N10" s="1047"/>
      <c r="O10" s="1062"/>
      <c r="P10" s="1062"/>
      <c r="Q10" s="1047"/>
      <c r="R10" s="1048" t="s">
        <v>149</v>
      </c>
      <c r="S10" s="1049"/>
      <c r="T10" s="1049"/>
      <c r="U10" s="1050"/>
      <c r="V10" s="1046" t="s">
        <v>150</v>
      </c>
      <c r="W10" s="1046" t="s">
        <v>145</v>
      </c>
      <c r="X10" s="1046" t="s">
        <v>146</v>
      </c>
      <c r="Y10" s="1046" t="s">
        <v>147</v>
      </c>
      <c r="Z10" s="1046" t="s">
        <v>148</v>
      </c>
      <c r="AA10" s="1062"/>
      <c r="AB10" s="1062"/>
      <c r="AC10" s="1048" t="s">
        <v>143</v>
      </c>
      <c r="AD10" s="1049"/>
      <c r="AE10" s="1049"/>
      <c r="AF10" s="1050"/>
      <c r="AG10" s="1046" t="s">
        <v>144</v>
      </c>
      <c r="AH10" s="1046" t="s">
        <v>145</v>
      </c>
      <c r="AI10" s="1046" t="s">
        <v>146</v>
      </c>
      <c r="AJ10" s="1046" t="s">
        <v>147</v>
      </c>
      <c r="AK10" s="1046" t="s">
        <v>148</v>
      </c>
    </row>
    <row r="11" spans="1:38" ht="87" customHeight="1">
      <c r="A11" s="1052"/>
      <c r="B11" s="1059"/>
      <c r="C11" s="1047"/>
      <c r="D11" s="1047"/>
      <c r="E11" s="562" t="s">
        <v>106</v>
      </c>
      <c r="F11" s="530" t="s">
        <v>151</v>
      </c>
      <c r="G11" s="530" t="s">
        <v>129</v>
      </c>
      <c r="H11" s="530" t="s">
        <v>130</v>
      </c>
      <c r="I11" s="1060"/>
      <c r="J11" s="1060"/>
      <c r="K11" s="1060"/>
      <c r="L11" s="1060"/>
      <c r="M11" s="1060"/>
      <c r="N11" s="1047"/>
      <c r="O11" s="1062"/>
      <c r="P11" s="1063"/>
      <c r="Q11" s="1047"/>
      <c r="R11" s="562" t="s">
        <v>106</v>
      </c>
      <c r="S11" s="530" t="s">
        <v>151</v>
      </c>
      <c r="T11" s="530" t="s">
        <v>129</v>
      </c>
      <c r="U11" s="530" t="s">
        <v>130</v>
      </c>
      <c r="V11" s="1060"/>
      <c r="W11" s="1060"/>
      <c r="X11" s="1060"/>
      <c r="Y11" s="1060"/>
      <c r="Z11" s="1060"/>
      <c r="AA11" s="1062"/>
      <c r="AB11" s="1062"/>
      <c r="AC11" s="562" t="s">
        <v>106</v>
      </c>
      <c r="AD11" s="530" t="s">
        <v>151</v>
      </c>
      <c r="AE11" s="530" t="s">
        <v>129</v>
      </c>
      <c r="AF11" s="530" t="s">
        <v>130</v>
      </c>
      <c r="AG11" s="1060"/>
      <c r="AH11" s="1060"/>
      <c r="AI11" s="1060"/>
      <c r="AJ11" s="1060"/>
      <c r="AK11" s="1060"/>
      <c r="AL11" s="563">
        <f>AL13-AB13</f>
        <v>0</v>
      </c>
    </row>
    <row r="12" spans="1:38">
      <c r="A12" s="564" t="s">
        <v>16</v>
      </c>
      <c r="B12" s="564" t="s">
        <v>17</v>
      </c>
      <c r="C12" s="565">
        <v>1</v>
      </c>
      <c r="D12" s="565" t="s">
        <v>152</v>
      </c>
      <c r="E12" s="565" t="s">
        <v>131</v>
      </c>
      <c r="F12" s="565">
        <v>4</v>
      </c>
      <c r="G12" s="565">
        <v>5</v>
      </c>
      <c r="H12" s="565">
        <v>6</v>
      </c>
      <c r="I12" s="565">
        <v>7</v>
      </c>
      <c r="J12" s="565">
        <v>8</v>
      </c>
      <c r="K12" s="565">
        <v>9</v>
      </c>
      <c r="L12" s="565">
        <v>10</v>
      </c>
      <c r="M12" s="565">
        <v>11</v>
      </c>
      <c r="N12" s="565">
        <v>12</v>
      </c>
      <c r="O12" s="566">
        <v>13</v>
      </c>
      <c r="P12" s="566">
        <v>14</v>
      </c>
      <c r="Q12" s="565" t="s">
        <v>153</v>
      </c>
      <c r="R12" s="565" t="s">
        <v>154</v>
      </c>
      <c r="S12" s="565">
        <v>17</v>
      </c>
      <c r="T12" s="565">
        <v>18</v>
      </c>
      <c r="U12" s="565">
        <v>19</v>
      </c>
      <c r="V12" s="565">
        <v>20</v>
      </c>
      <c r="W12" s="565">
        <v>21</v>
      </c>
      <c r="X12" s="565">
        <v>22</v>
      </c>
      <c r="Y12" s="565">
        <v>23</v>
      </c>
      <c r="Z12" s="565">
        <v>24</v>
      </c>
      <c r="AA12" s="566">
        <v>25</v>
      </c>
      <c r="AB12" s="566" t="s">
        <v>155</v>
      </c>
      <c r="AC12" s="565" t="s">
        <v>156</v>
      </c>
      <c r="AD12" s="565">
        <v>28</v>
      </c>
      <c r="AE12" s="565">
        <v>29</v>
      </c>
      <c r="AF12" s="565">
        <v>30</v>
      </c>
      <c r="AG12" s="565">
        <v>31</v>
      </c>
      <c r="AH12" s="565">
        <v>32</v>
      </c>
      <c r="AI12" s="565">
        <v>33</v>
      </c>
      <c r="AJ12" s="565">
        <v>34</v>
      </c>
      <c r="AK12" s="565">
        <v>35</v>
      </c>
    </row>
    <row r="13" spans="1:38">
      <c r="A13" s="567"/>
      <c r="B13" s="568" t="s">
        <v>106</v>
      </c>
      <c r="C13" s="569">
        <f>C14+C16</f>
        <v>0</v>
      </c>
      <c r="D13" s="569">
        <f t="shared" ref="D13:AK13" si="0">D14+D16</f>
        <v>0</v>
      </c>
      <c r="E13" s="569">
        <f t="shared" si="0"/>
        <v>0</v>
      </c>
      <c r="F13" s="569">
        <f t="shared" si="0"/>
        <v>0</v>
      </c>
      <c r="G13" s="569">
        <f t="shared" si="0"/>
        <v>0</v>
      </c>
      <c r="H13" s="569">
        <f t="shared" si="0"/>
        <v>0</v>
      </c>
      <c r="I13" s="569">
        <f t="shared" si="0"/>
        <v>0</v>
      </c>
      <c r="J13" s="569">
        <f t="shared" si="0"/>
        <v>0</v>
      </c>
      <c r="K13" s="569">
        <f t="shared" si="0"/>
        <v>0</v>
      </c>
      <c r="L13" s="569">
        <f t="shared" si="0"/>
        <v>0</v>
      </c>
      <c r="M13" s="569">
        <f t="shared" si="0"/>
        <v>0</v>
      </c>
      <c r="N13" s="569">
        <f t="shared" si="0"/>
        <v>0</v>
      </c>
      <c r="O13" s="570">
        <f t="shared" si="0"/>
        <v>0</v>
      </c>
      <c r="P13" s="570">
        <f t="shared" si="0"/>
        <v>0</v>
      </c>
      <c r="Q13" s="569">
        <f t="shared" si="0"/>
        <v>0</v>
      </c>
      <c r="R13" s="569">
        <f t="shared" si="0"/>
        <v>0</v>
      </c>
      <c r="S13" s="569">
        <f t="shared" si="0"/>
        <v>0</v>
      </c>
      <c r="T13" s="569">
        <f t="shared" si="0"/>
        <v>0</v>
      </c>
      <c r="U13" s="569">
        <f t="shared" si="0"/>
        <v>0</v>
      </c>
      <c r="V13" s="569">
        <f t="shared" si="0"/>
        <v>0</v>
      </c>
      <c r="W13" s="569">
        <f t="shared" si="0"/>
        <v>0</v>
      </c>
      <c r="X13" s="569">
        <f t="shared" si="0"/>
        <v>0</v>
      </c>
      <c r="Y13" s="569">
        <f t="shared" si="0"/>
        <v>0</v>
      </c>
      <c r="Z13" s="569">
        <f t="shared" si="0"/>
        <v>0</v>
      </c>
      <c r="AA13" s="570">
        <f t="shared" si="0"/>
        <v>0</v>
      </c>
      <c r="AB13" s="570">
        <f t="shared" si="0"/>
        <v>0</v>
      </c>
      <c r="AC13" s="569">
        <f t="shared" si="0"/>
        <v>0</v>
      </c>
      <c r="AD13" s="569">
        <f t="shared" si="0"/>
        <v>0</v>
      </c>
      <c r="AE13" s="569">
        <f t="shared" si="0"/>
        <v>0</v>
      </c>
      <c r="AF13" s="569">
        <f t="shared" si="0"/>
        <v>0</v>
      </c>
      <c r="AG13" s="569">
        <f t="shared" si="0"/>
        <v>0</v>
      </c>
      <c r="AH13" s="569">
        <f t="shared" si="0"/>
        <v>0</v>
      </c>
      <c r="AI13" s="569">
        <f t="shared" si="0"/>
        <v>0</v>
      </c>
      <c r="AJ13" s="569">
        <f t="shared" si="0"/>
        <v>0</v>
      </c>
      <c r="AK13" s="569">
        <f t="shared" si="0"/>
        <v>0</v>
      </c>
      <c r="AL13" s="563">
        <f>AH13+AI13</f>
        <v>0</v>
      </c>
    </row>
    <row r="14" spans="1:38">
      <c r="A14" s="567"/>
      <c r="B14" s="571"/>
      <c r="C14" s="569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69"/>
      <c r="O14" s="570"/>
      <c r="P14" s="570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0"/>
      <c r="AB14" s="573"/>
      <c r="AC14" s="572"/>
      <c r="AD14" s="572"/>
      <c r="AE14" s="572"/>
      <c r="AF14" s="572"/>
      <c r="AG14" s="572"/>
      <c r="AH14" s="572"/>
      <c r="AI14" s="572"/>
      <c r="AJ14" s="572"/>
      <c r="AK14" s="572"/>
    </row>
    <row r="15" spans="1:38">
      <c r="A15" s="567"/>
      <c r="B15" s="574"/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69"/>
      <c r="N15" s="569"/>
      <c r="O15" s="570"/>
      <c r="P15" s="570"/>
      <c r="Q15" s="569"/>
      <c r="R15" s="569"/>
      <c r="S15" s="569"/>
      <c r="T15" s="569"/>
      <c r="U15" s="569"/>
      <c r="V15" s="569"/>
      <c r="W15" s="569"/>
      <c r="X15" s="569"/>
      <c r="Y15" s="569"/>
      <c r="Z15" s="569"/>
      <c r="AA15" s="570"/>
      <c r="AB15" s="570"/>
      <c r="AC15" s="569"/>
      <c r="AD15" s="569"/>
      <c r="AE15" s="569"/>
      <c r="AF15" s="569"/>
      <c r="AG15" s="569"/>
      <c r="AH15" s="569"/>
      <c r="AI15" s="569"/>
      <c r="AJ15" s="569"/>
      <c r="AK15" s="569"/>
    </row>
    <row r="16" spans="1:38">
      <c r="A16" s="567"/>
      <c r="B16" s="575"/>
      <c r="C16" s="569"/>
      <c r="D16" s="572"/>
      <c r="E16" s="572"/>
      <c r="F16" s="572"/>
      <c r="G16" s="572"/>
      <c r="H16" s="572"/>
      <c r="I16" s="572"/>
      <c r="J16" s="572"/>
      <c r="K16" s="572"/>
      <c r="L16" s="572"/>
      <c r="M16" s="572"/>
      <c r="N16" s="569"/>
      <c r="O16" s="570"/>
      <c r="P16" s="570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0"/>
      <c r="AB16" s="573"/>
      <c r="AC16" s="572"/>
      <c r="AD16" s="572"/>
      <c r="AE16" s="572"/>
      <c r="AF16" s="572"/>
      <c r="AG16" s="572"/>
      <c r="AH16" s="572"/>
      <c r="AI16" s="572"/>
      <c r="AJ16" s="572"/>
      <c r="AK16" s="572"/>
    </row>
    <row r="17" spans="1:38">
      <c r="A17" s="576"/>
      <c r="B17" s="577"/>
      <c r="C17" s="578"/>
      <c r="D17" s="579"/>
      <c r="E17" s="579"/>
      <c r="F17" s="579"/>
      <c r="G17" s="579"/>
      <c r="H17" s="579"/>
      <c r="I17" s="579"/>
      <c r="J17" s="579"/>
      <c r="K17" s="579"/>
      <c r="L17" s="579"/>
      <c r="M17" s="579"/>
      <c r="N17" s="578"/>
      <c r="O17" s="580"/>
      <c r="P17" s="580"/>
      <c r="Q17" s="579"/>
      <c r="R17" s="579"/>
      <c r="S17" s="579"/>
      <c r="T17" s="579"/>
      <c r="U17" s="579"/>
      <c r="V17" s="579"/>
      <c r="W17" s="579"/>
      <c r="X17" s="579"/>
      <c r="Y17" s="579"/>
      <c r="Z17" s="579"/>
      <c r="AA17" s="580"/>
      <c r="AB17" s="581"/>
      <c r="AC17" s="579"/>
      <c r="AD17" s="579"/>
      <c r="AE17" s="579"/>
      <c r="AF17" s="579"/>
      <c r="AG17" s="579"/>
      <c r="AH17" s="579"/>
      <c r="AI17" s="579"/>
      <c r="AJ17" s="579"/>
      <c r="AK17" s="579"/>
    </row>
    <row r="18" spans="1:38">
      <c r="A18" s="582"/>
      <c r="B18" s="583"/>
      <c r="C18" s="584"/>
      <c r="D18" s="585"/>
      <c r="E18" s="585"/>
      <c r="F18" s="585"/>
      <c r="G18" s="585"/>
      <c r="H18" s="585"/>
      <c r="I18" s="585"/>
      <c r="J18" s="585"/>
      <c r="K18" s="585"/>
      <c r="L18" s="585"/>
      <c r="M18" s="585"/>
      <c r="N18" s="584"/>
      <c r="O18" s="580"/>
      <c r="P18" s="580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0"/>
      <c r="AB18" s="581"/>
      <c r="AC18" s="585"/>
      <c r="AD18" s="585"/>
      <c r="AE18" s="585"/>
      <c r="AF18" s="585"/>
      <c r="AG18" s="585"/>
      <c r="AH18" s="585"/>
      <c r="AI18" s="585"/>
      <c r="AJ18" s="585"/>
      <c r="AK18" s="585"/>
      <c r="AL18" s="586">
        <f>AH18+AI18</f>
        <v>0</v>
      </c>
    </row>
    <row r="19" spans="1:38">
      <c r="A19" s="587"/>
      <c r="B19" s="574"/>
      <c r="C19" s="584"/>
      <c r="D19" s="585"/>
      <c r="E19" s="585"/>
      <c r="F19" s="585"/>
      <c r="G19" s="585"/>
      <c r="H19" s="585"/>
      <c r="I19" s="585"/>
      <c r="J19" s="585"/>
      <c r="K19" s="585"/>
      <c r="L19" s="585"/>
      <c r="M19" s="585"/>
      <c r="N19" s="584"/>
      <c r="O19" s="580"/>
      <c r="P19" s="580"/>
      <c r="Q19" s="585"/>
      <c r="R19" s="585"/>
      <c r="S19" s="585"/>
      <c r="T19" s="585"/>
      <c r="U19" s="585"/>
      <c r="V19" s="585"/>
      <c r="W19" s="585"/>
      <c r="X19" s="585"/>
      <c r="Y19" s="585"/>
      <c r="Z19" s="585"/>
      <c r="AA19" s="580"/>
      <c r="AB19" s="581"/>
      <c r="AC19" s="585"/>
      <c r="AD19" s="585"/>
      <c r="AE19" s="585"/>
      <c r="AF19" s="585"/>
      <c r="AG19" s="585"/>
      <c r="AH19" s="585"/>
      <c r="AI19" s="585"/>
      <c r="AJ19" s="585"/>
      <c r="AK19" s="585"/>
    </row>
    <row r="21" spans="1:38">
      <c r="A21" s="867" t="s">
        <v>49</v>
      </c>
      <c r="B21" s="867"/>
      <c r="C21" s="606"/>
      <c r="D21" s="520"/>
      <c r="E21" s="520"/>
      <c r="F21" s="520"/>
      <c r="G21" s="520"/>
      <c r="H21" s="520"/>
      <c r="I21" s="520"/>
      <c r="J21" s="520"/>
      <c r="K21" s="1039" t="s">
        <v>135</v>
      </c>
      <c r="L21" s="1039"/>
      <c r="M21" s="520"/>
      <c r="N21" s="520"/>
      <c r="O21" s="555"/>
      <c r="P21" s="555"/>
      <c r="Q21" s="520"/>
      <c r="R21" s="520"/>
      <c r="S21" s="520"/>
      <c r="T21" s="520"/>
      <c r="U21" s="520"/>
      <c r="V21" s="520"/>
      <c r="W21" s="520"/>
      <c r="X21" s="520"/>
      <c r="Y21" s="520"/>
      <c r="Z21" s="520"/>
      <c r="AA21" s="555"/>
      <c r="AB21" s="555"/>
      <c r="AC21" s="520"/>
      <c r="AD21" s="520"/>
      <c r="AE21" s="520"/>
      <c r="AF21" s="520"/>
      <c r="AG21" s="520"/>
      <c r="AH21" s="520"/>
      <c r="AI21" s="520"/>
      <c r="AJ21" s="1056" t="s">
        <v>135</v>
      </c>
      <c r="AK21" s="1056"/>
    </row>
    <row r="22" spans="1:38">
      <c r="A22" s="228" t="s">
        <v>39</v>
      </c>
      <c r="B22" s="228"/>
      <c r="C22" s="607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55"/>
      <c r="P22" s="555"/>
      <c r="Q22" s="520"/>
      <c r="R22" s="520"/>
      <c r="S22" s="520"/>
      <c r="T22" s="520"/>
      <c r="U22" s="520"/>
      <c r="V22" s="520"/>
      <c r="W22" s="520"/>
      <c r="X22" s="520"/>
      <c r="Y22" s="520"/>
      <c r="Z22" s="520"/>
      <c r="AA22" s="555"/>
      <c r="AB22" s="555"/>
      <c r="AC22" s="520"/>
      <c r="AD22" s="520"/>
      <c r="AE22" s="520"/>
      <c r="AF22" s="520"/>
      <c r="AG22" s="520"/>
      <c r="AH22" s="520"/>
      <c r="AI22" s="520"/>
      <c r="AJ22" s="819"/>
      <c r="AK22" s="819"/>
    </row>
    <row r="23" spans="1:38">
      <c r="A23" s="1041"/>
      <c r="B23" s="1041"/>
      <c r="C23" s="520"/>
      <c r="D23" s="520"/>
      <c r="E23" s="520"/>
      <c r="F23" s="522"/>
      <c r="G23" s="520"/>
      <c r="H23" s="520"/>
      <c r="I23" s="520"/>
      <c r="J23" s="520"/>
      <c r="K23" s="520"/>
      <c r="L23" s="520"/>
      <c r="M23" s="520"/>
      <c r="N23" s="520"/>
      <c r="O23" s="555"/>
      <c r="P23" s="555"/>
      <c r="Q23" s="520"/>
      <c r="R23" s="520"/>
      <c r="S23" s="520"/>
      <c r="T23" s="520"/>
      <c r="U23" s="520"/>
      <c r="V23" s="520"/>
      <c r="W23" s="520"/>
      <c r="X23" s="520"/>
      <c r="Y23" s="520"/>
      <c r="Z23" s="520"/>
      <c r="AA23" s="555"/>
      <c r="AB23" s="555"/>
      <c r="AC23" s="520"/>
      <c r="AD23" s="520"/>
      <c r="AE23" s="520"/>
      <c r="AF23" s="520"/>
      <c r="AG23" s="520"/>
      <c r="AH23" s="520"/>
      <c r="AI23" s="520"/>
      <c r="AJ23" s="520"/>
      <c r="AK23" s="520"/>
    </row>
    <row r="24" spans="1:38">
      <c r="A24" s="1040" t="s">
        <v>136</v>
      </c>
      <c r="B24" s="1040"/>
      <c r="C24" s="1040"/>
      <c r="D24" s="1040"/>
      <c r="E24" s="1040"/>
      <c r="F24" s="1040"/>
      <c r="G24" s="1040"/>
      <c r="H24" s="1040"/>
      <c r="I24" s="1040"/>
      <c r="J24" s="1040"/>
      <c r="K24" s="1040"/>
      <c r="L24" s="1040"/>
      <c r="M24" s="1040"/>
      <c r="N24" s="523"/>
      <c r="O24" s="556"/>
      <c r="P24" s="556"/>
      <c r="Q24" s="523"/>
      <c r="R24" s="523"/>
      <c r="S24" s="523"/>
      <c r="T24" s="523"/>
      <c r="U24" s="523"/>
      <c r="V24" s="523"/>
      <c r="W24" s="523"/>
      <c r="X24" s="523"/>
      <c r="Y24" s="523"/>
      <c r="Z24" s="523"/>
      <c r="AA24" s="556"/>
      <c r="AB24" s="556"/>
      <c r="AC24" s="523"/>
      <c r="AD24" s="523"/>
      <c r="AE24" s="523"/>
      <c r="AF24" s="523"/>
      <c r="AG24" s="523"/>
      <c r="AH24" s="523"/>
      <c r="AI24" s="523"/>
      <c r="AJ24" s="523"/>
      <c r="AK24" s="523"/>
    </row>
    <row r="25" spans="1:38">
      <c r="A25" s="1040" t="s">
        <v>186</v>
      </c>
      <c r="B25" s="1040"/>
      <c r="C25" s="1040"/>
      <c r="D25" s="1040"/>
      <c r="E25" s="1040"/>
      <c r="F25" s="1040"/>
      <c r="G25" s="1040"/>
      <c r="H25" s="1040"/>
      <c r="I25" s="1040"/>
      <c r="J25" s="1040"/>
      <c r="K25" s="1040"/>
      <c r="L25" s="1040"/>
      <c r="M25" s="1040"/>
      <c r="N25" s="523"/>
      <c r="O25" s="556"/>
      <c r="P25" s="556"/>
      <c r="Q25" s="523"/>
      <c r="R25" s="523"/>
      <c r="S25" s="523"/>
      <c r="T25" s="523"/>
      <c r="U25" s="523"/>
      <c r="V25" s="523"/>
      <c r="W25" s="523"/>
      <c r="X25" s="523"/>
      <c r="Y25" s="523"/>
      <c r="Z25" s="523"/>
      <c r="AA25" s="556"/>
      <c r="AB25" s="556"/>
      <c r="AC25" s="523"/>
      <c r="AD25" s="523"/>
      <c r="AE25" s="523"/>
      <c r="AF25" s="523"/>
      <c r="AG25" s="523"/>
      <c r="AH25" s="523"/>
      <c r="AI25" s="523"/>
      <c r="AJ25" s="523"/>
      <c r="AK25" s="523"/>
    </row>
    <row r="26" spans="1:38">
      <c r="A26" s="523"/>
      <c r="B26" s="523"/>
      <c r="C26" s="523"/>
      <c r="D26" s="523"/>
      <c r="E26" s="523"/>
      <c r="F26" s="523"/>
      <c r="G26" s="523"/>
      <c r="H26" s="523"/>
      <c r="I26" s="523"/>
      <c r="J26" s="523"/>
      <c r="K26" s="523"/>
      <c r="L26" s="523"/>
      <c r="M26" s="523"/>
      <c r="N26" s="523"/>
      <c r="O26" s="556"/>
      <c r="P26" s="556"/>
      <c r="Q26" s="523"/>
      <c r="R26" s="523"/>
      <c r="S26" s="523"/>
      <c r="T26" s="523"/>
      <c r="U26" s="523"/>
      <c r="V26" s="523"/>
      <c r="W26" s="523"/>
      <c r="X26" s="523"/>
      <c r="Y26" s="523"/>
      <c r="Z26" s="523"/>
      <c r="AA26" s="556"/>
      <c r="AB26" s="556"/>
      <c r="AC26" s="523"/>
      <c r="AD26" s="523"/>
      <c r="AE26" s="523"/>
      <c r="AF26" s="523"/>
      <c r="AG26" s="523"/>
      <c r="AH26" s="523"/>
      <c r="AI26" s="523"/>
      <c r="AJ26" s="523"/>
      <c r="AK26" s="523"/>
    </row>
    <row r="27" spans="1:38">
      <c r="A27" s="529"/>
      <c r="B27" s="1041" t="s">
        <v>123</v>
      </c>
      <c r="C27" s="1041"/>
      <c r="D27" s="526"/>
      <c r="E27" s="529"/>
      <c r="F27" s="527"/>
      <c r="G27" s="529"/>
      <c r="H27" s="529"/>
      <c r="I27" s="529"/>
      <c r="J27" s="529"/>
      <c r="K27" s="1042" t="s">
        <v>99</v>
      </c>
      <c r="L27" s="1042"/>
      <c r="M27" s="1042"/>
      <c r="N27" s="528"/>
      <c r="O27" s="557"/>
      <c r="P27" s="557"/>
      <c r="Q27" s="527"/>
      <c r="R27" s="529"/>
      <c r="S27" s="558"/>
      <c r="T27" s="529"/>
      <c r="U27" s="558"/>
      <c r="V27" s="528"/>
      <c r="W27" s="559"/>
      <c r="X27" s="560"/>
      <c r="Y27" s="561"/>
      <c r="Z27" s="558"/>
      <c r="AA27" s="557"/>
      <c r="AB27" s="557"/>
      <c r="AC27" s="529"/>
      <c r="AD27" s="529"/>
      <c r="AE27" s="558"/>
      <c r="AF27" s="529"/>
      <c r="AG27" s="558"/>
    </row>
    <row r="28" spans="1:38">
      <c r="A28" s="1051" t="s">
        <v>12</v>
      </c>
      <c r="B28" s="1057" t="s">
        <v>97</v>
      </c>
      <c r="C28" s="1048" t="s">
        <v>124</v>
      </c>
      <c r="D28" s="1049"/>
      <c r="E28" s="1049"/>
      <c r="F28" s="1049"/>
      <c r="G28" s="1049"/>
      <c r="H28" s="1049"/>
      <c r="I28" s="1049"/>
      <c r="J28" s="1049"/>
      <c r="K28" s="1049"/>
      <c r="L28" s="1049"/>
      <c r="M28" s="1050"/>
      <c r="N28" s="1043"/>
      <c r="O28" s="1044"/>
      <c r="P28" s="1044"/>
      <c r="Q28" s="1044"/>
      <c r="R28" s="1048" t="s">
        <v>184</v>
      </c>
      <c r="S28" s="1049"/>
      <c r="T28" s="1049"/>
      <c r="U28" s="1049"/>
      <c r="V28" s="1049"/>
      <c r="W28" s="1049"/>
      <c r="X28" s="1049"/>
      <c r="Y28" s="1049"/>
      <c r="Z28" s="1050"/>
      <c r="AA28" s="1048" t="s">
        <v>183</v>
      </c>
      <c r="AB28" s="1049"/>
      <c r="AC28" s="1049"/>
      <c r="AD28" s="1049"/>
      <c r="AE28" s="1049"/>
      <c r="AF28" s="1049"/>
      <c r="AG28" s="1049"/>
      <c r="AH28" s="1049"/>
      <c r="AI28" s="1049"/>
      <c r="AJ28" s="1049"/>
      <c r="AK28" s="1050"/>
    </row>
    <row r="29" spans="1:38">
      <c r="A29" s="1052"/>
      <c r="B29" s="1058"/>
      <c r="C29" s="1046" t="s">
        <v>137</v>
      </c>
      <c r="D29" s="1046" t="s">
        <v>138</v>
      </c>
      <c r="E29" s="1048" t="s">
        <v>46</v>
      </c>
      <c r="F29" s="1049"/>
      <c r="G29" s="1049"/>
      <c r="H29" s="1049"/>
      <c r="I29" s="1050"/>
      <c r="J29" s="1048" t="s">
        <v>139</v>
      </c>
      <c r="K29" s="1049"/>
      <c r="L29" s="1049"/>
      <c r="M29" s="1050"/>
      <c r="N29" s="1046" t="s">
        <v>137</v>
      </c>
      <c r="O29" s="1061" t="s">
        <v>140</v>
      </c>
      <c r="P29" s="1061" t="s">
        <v>141</v>
      </c>
      <c r="Q29" s="1046" t="s">
        <v>142</v>
      </c>
      <c r="R29" s="1048" t="s">
        <v>46</v>
      </c>
      <c r="S29" s="1049"/>
      <c r="T29" s="1049"/>
      <c r="U29" s="1049"/>
      <c r="V29" s="1050"/>
      <c r="W29" s="1048" t="s">
        <v>139</v>
      </c>
      <c r="X29" s="1049"/>
      <c r="Y29" s="1049"/>
      <c r="Z29" s="1050"/>
      <c r="AA29" s="1061" t="s">
        <v>137</v>
      </c>
      <c r="AB29" s="1061" t="s">
        <v>138</v>
      </c>
      <c r="AC29" s="1048" t="s">
        <v>46</v>
      </c>
      <c r="AD29" s="1049"/>
      <c r="AE29" s="1049"/>
      <c r="AF29" s="1049"/>
      <c r="AG29" s="1050"/>
      <c r="AH29" s="1048" t="s">
        <v>139</v>
      </c>
      <c r="AI29" s="1049"/>
      <c r="AJ29" s="1049"/>
      <c r="AK29" s="1050"/>
    </row>
    <row r="30" spans="1:38">
      <c r="A30" s="1052"/>
      <c r="B30" s="1058"/>
      <c r="C30" s="1047"/>
      <c r="D30" s="1047"/>
      <c r="E30" s="1048" t="s">
        <v>143</v>
      </c>
      <c r="F30" s="1049"/>
      <c r="G30" s="1049"/>
      <c r="H30" s="1050"/>
      <c r="I30" s="1046" t="s">
        <v>144</v>
      </c>
      <c r="J30" s="1046" t="s">
        <v>145</v>
      </c>
      <c r="K30" s="1046" t="s">
        <v>146</v>
      </c>
      <c r="L30" s="1046" t="s">
        <v>147</v>
      </c>
      <c r="M30" s="1046" t="s">
        <v>148</v>
      </c>
      <c r="N30" s="1047"/>
      <c r="O30" s="1062"/>
      <c r="P30" s="1062"/>
      <c r="Q30" s="1047"/>
      <c r="R30" s="1048" t="s">
        <v>149</v>
      </c>
      <c r="S30" s="1049"/>
      <c r="T30" s="1049"/>
      <c r="U30" s="1050"/>
      <c r="V30" s="1046" t="s">
        <v>150</v>
      </c>
      <c r="W30" s="1046" t="s">
        <v>145</v>
      </c>
      <c r="X30" s="1046" t="s">
        <v>146</v>
      </c>
      <c r="Y30" s="1046" t="s">
        <v>147</v>
      </c>
      <c r="Z30" s="1046" t="s">
        <v>148</v>
      </c>
      <c r="AA30" s="1062"/>
      <c r="AB30" s="1062"/>
      <c r="AC30" s="1048" t="s">
        <v>143</v>
      </c>
      <c r="AD30" s="1049"/>
      <c r="AE30" s="1049"/>
      <c r="AF30" s="1050"/>
      <c r="AG30" s="1046" t="s">
        <v>144</v>
      </c>
      <c r="AH30" s="1046" t="s">
        <v>145</v>
      </c>
      <c r="AI30" s="1046" t="s">
        <v>146</v>
      </c>
      <c r="AJ30" s="1046" t="s">
        <v>147</v>
      </c>
      <c r="AK30" s="1046" t="s">
        <v>148</v>
      </c>
    </row>
    <row r="31" spans="1:38" ht="38.25">
      <c r="A31" s="1052"/>
      <c r="B31" s="1059"/>
      <c r="C31" s="1047"/>
      <c r="D31" s="1047"/>
      <c r="E31" s="818" t="s">
        <v>106</v>
      </c>
      <c r="F31" s="816" t="s">
        <v>151</v>
      </c>
      <c r="G31" s="816" t="s">
        <v>129</v>
      </c>
      <c r="H31" s="816" t="s">
        <v>130</v>
      </c>
      <c r="I31" s="1060"/>
      <c r="J31" s="1060"/>
      <c r="K31" s="1060"/>
      <c r="L31" s="1060"/>
      <c r="M31" s="1060"/>
      <c r="N31" s="1047"/>
      <c r="O31" s="1062"/>
      <c r="P31" s="1063"/>
      <c r="Q31" s="1047"/>
      <c r="R31" s="818" t="s">
        <v>106</v>
      </c>
      <c r="S31" s="816" t="s">
        <v>151</v>
      </c>
      <c r="T31" s="816" t="s">
        <v>129</v>
      </c>
      <c r="U31" s="816" t="s">
        <v>130</v>
      </c>
      <c r="V31" s="1060"/>
      <c r="W31" s="1060"/>
      <c r="X31" s="1060"/>
      <c r="Y31" s="1060"/>
      <c r="Z31" s="1060"/>
      <c r="AA31" s="1062"/>
      <c r="AB31" s="1062"/>
      <c r="AC31" s="818" t="s">
        <v>106</v>
      </c>
      <c r="AD31" s="816" t="s">
        <v>151</v>
      </c>
      <c r="AE31" s="816" t="s">
        <v>129</v>
      </c>
      <c r="AF31" s="816" t="s">
        <v>130</v>
      </c>
      <c r="AG31" s="1060"/>
      <c r="AH31" s="1060"/>
      <c r="AI31" s="1060"/>
      <c r="AJ31" s="1060"/>
      <c r="AK31" s="1060"/>
    </row>
    <row r="32" spans="1:38">
      <c r="A32" s="564" t="s">
        <v>16</v>
      </c>
      <c r="B32" s="564" t="s">
        <v>17</v>
      </c>
      <c r="C32" s="565">
        <v>1</v>
      </c>
      <c r="D32" s="565" t="s">
        <v>152</v>
      </c>
      <c r="E32" s="565" t="s">
        <v>131</v>
      </c>
      <c r="F32" s="565">
        <v>4</v>
      </c>
      <c r="G32" s="565">
        <v>5</v>
      </c>
      <c r="H32" s="565">
        <v>6</v>
      </c>
      <c r="I32" s="565">
        <v>7</v>
      </c>
      <c r="J32" s="565">
        <v>8</v>
      </c>
      <c r="K32" s="565">
        <v>9</v>
      </c>
      <c r="L32" s="565">
        <v>10</v>
      </c>
      <c r="M32" s="565">
        <v>11</v>
      </c>
      <c r="N32" s="565">
        <v>12</v>
      </c>
      <c r="O32" s="566">
        <v>13</v>
      </c>
      <c r="P32" s="566">
        <v>14</v>
      </c>
      <c r="Q32" s="565" t="s">
        <v>153</v>
      </c>
      <c r="R32" s="565" t="s">
        <v>154</v>
      </c>
      <c r="S32" s="565">
        <v>17</v>
      </c>
      <c r="T32" s="565">
        <v>18</v>
      </c>
      <c r="U32" s="565">
        <v>19</v>
      </c>
      <c r="V32" s="565">
        <v>20</v>
      </c>
      <c r="W32" s="565">
        <v>21</v>
      </c>
      <c r="X32" s="565">
        <v>22</v>
      </c>
      <c r="Y32" s="565">
        <v>23</v>
      </c>
      <c r="Z32" s="565">
        <v>24</v>
      </c>
      <c r="AA32" s="566">
        <v>25</v>
      </c>
      <c r="AB32" s="566" t="s">
        <v>155</v>
      </c>
      <c r="AC32" s="565" t="s">
        <v>156</v>
      </c>
      <c r="AD32" s="565">
        <v>28</v>
      </c>
      <c r="AE32" s="565">
        <v>29</v>
      </c>
      <c r="AF32" s="565">
        <v>30</v>
      </c>
      <c r="AG32" s="565">
        <v>31</v>
      </c>
      <c r="AH32" s="565">
        <v>32</v>
      </c>
      <c r="AI32" s="565">
        <v>33</v>
      </c>
      <c r="AJ32" s="565">
        <v>34</v>
      </c>
      <c r="AK32" s="565">
        <v>35</v>
      </c>
    </row>
    <row r="33" spans="1:37">
      <c r="A33" s="567"/>
      <c r="B33" s="568" t="s">
        <v>106</v>
      </c>
      <c r="C33" s="569">
        <f t="shared" ref="C33:J33" si="1">SUM(C34:C37)</f>
        <v>155</v>
      </c>
      <c r="D33" s="1093">
        <f t="shared" si="1"/>
        <v>21233</v>
      </c>
      <c r="E33" s="1094">
        <f>SUM(E34:E37)</f>
        <v>21233</v>
      </c>
      <c r="F33" s="1094">
        <f>SUM(F34:F37)</f>
        <v>12597</v>
      </c>
      <c r="G33" s="1094">
        <f>SUM(G34:G37)</f>
        <v>5612</v>
      </c>
      <c r="H33" s="1094">
        <f>SUM(H34:H37)</f>
        <v>3024</v>
      </c>
      <c r="I33" s="569"/>
      <c r="J33" s="569">
        <f t="shared" si="1"/>
        <v>21075</v>
      </c>
      <c r="K33" s="569">
        <f t="shared" ref="K33:AK33" si="2">K34+K36</f>
        <v>158</v>
      </c>
      <c r="L33" s="569">
        <f t="shared" si="2"/>
        <v>0</v>
      </c>
      <c r="M33" s="569">
        <f t="shared" si="2"/>
        <v>0</v>
      </c>
      <c r="N33" s="569">
        <f t="shared" si="2"/>
        <v>56</v>
      </c>
      <c r="O33" s="570">
        <f t="shared" si="2"/>
        <v>50</v>
      </c>
      <c r="P33" s="570">
        <f t="shared" si="2"/>
        <v>50</v>
      </c>
      <c r="Q33" s="569">
        <f t="shared" si="2"/>
        <v>0</v>
      </c>
      <c r="R33" s="569">
        <f>SUM(R34:R37)</f>
        <v>21899</v>
      </c>
      <c r="S33" s="569">
        <f>SUM(S34:S37)</f>
        <v>13263</v>
      </c>
      <c r="T33" s="569">
        <f>SUM(T34:T37)</f>
        <v>5612</v>
      </c>
      <c r="U33" s="569">
        <f>SUM(U34:U37)</f>
        <v>3024</v>
      </c>
      <c r="V33" s="569">
        <f>SUM(V34:V37)</f>
        <v>21899</v>
      </c>
      <c r="W33" s="569">
        <f t="shared" si="2"/>
        <v>6687</v>
      </c>
      <c r="X33" s="569">
        <f t="shared" si="2"/>
        <v>158</v>
      </c>
      <c r="Y33" s="569">
        <f t="shared" si="2"/>
        <v>0</v>
      </c>
      <c r="Z33" s="569">
        <f t="shared" si="2"/>
        <v>0</v>
      </c>
      <c r="AA33" s="570">
        <f t="shared" si="2"/>
        <v>56</v>
      </c>
      <c r="AB33" s="570">
        <f t="shared" si="2"/>
        <v>0</v>
      </c>
      <c r="AC33" s="569">
        <f>SUM(AC34:AC37)</f>
        <v>27176</v>
      </c>
      <c r="AD33" s="569">
        <f>SUM(AD34:AD37)</f>
        <v>16755</v>
      </c>
      <c r="AE33" s="569">
        <f>SUM(AE34:AE37)</f>
        <v>6714</v>
      </c>
      <c r="AF33" s="569">
        <f>SUM(AF34:AF37)</f>
        <v>3707</v>
      </c>
      <c r="AG33" s="569">
        <f t="shared" si="2"/>
        <v>0</v>
      </c>
      <c r="AH33" s="569">
        <f t="shared" si="2"/>
        <v>6821</v>
      </c>
      <c r="AI33" s="569">
        <f t="shared" si="2"/>
        <v>160</v>
      </c>
      <c r="AJ33" s="569">
        <f t="shared" si="2"/>
        <v>0</v>
      </c>
      <c r="AK33" s="569">
        <f t="shared" si="2"/>
        <v>0</v>
      </c>
    </row>
    <row r="34" spans="1:37">
      <c r="A34" s="567">
        <v>1</v>
      </c>
      <c r="B34" s="1092" t="s">
        <v>463</v>
      </c>
      <c r="C34" s="569">
        <v>40</v>
      </c>
      <c r="D34" s="1095">
        <f>E34</f>
        <v>5009</v>
      </c>
      <c r="E34" s="1096">
        <f>F34+G34+H34</f>
        <v>5009</v>
      </c>
      <c r="F34" s="538">
        <f>2882</f>
        <v>2882</v>
      </c>
      <c r="G34" s="538">
        <v>1421</v>
      </c>
      <c r="H34" s="538">
        <v>706</v>
      </c>
      <c r="I34" s="572"/>
      <c r="J34" s="572">
        <f>E34-K34</f>
        <v>4851</v>
      </c>
      <c r="K34" s="572">
        <v>158</v>
      </c>
      <c r="L34" s="572"/>
      <c r="M34" s="572"/>
      <c r="N34" s="569">
        <v>40</v>
      </c>
      <c r="O34" s="570">
        <v>35</v>
      </c>
      <c r="P34" s="570">
        <v>35</v>
      </c>
      <c r="Q34" s="572"/>
      <c r="R34" s="572">
        <f>S34+T34+U34</f>
        <v>5179</v>
      </c>
      <c r="S34" s="538">
        <f>2882+170</f>
        <v>3052</v>
      </c>
      <c r="T34" s="538">
        <v>1421</v>
      </c>
      <c r="U34" s="538">
        <v>706</v>
      </c>
      <c r="V34" s="572">
        <f>W34+X34</f>
        <v>5179</v>
      </c>
      <c r="W34" s="572">
        <v>5021</v>
      </c>
      <c r="X34" s="572">
        <f>158</f>
        <v>158</v>
      </c>
      <c r="Y34" s="572"/>
      <c r="Z34" s="572"/>
      <c r="AA34" s="570">
        <v>40</v>
      </c>
      <c r="AB34" s="573"/>
      <c r="AC34" s="572">
        <f>AD34+AE34+AF34</f>
        <v>6981</v>
      </c>
      <c r="AD34" s="572">
        <f>3431+329+79+343</f>
        <v>4182</v>
      </c>
      <c r="AE34" s="572">
        <f>1678+148+38</f>
        <v>1864</v>
      </c>
      <c r="AF34" s="572">
        <f>839+77+19</f>
        <v>935</v>
      </c>
      <c r="AG34" s="572"/>
      <c r="AH34" s="572">
        <f>AC34-160</f>
        <v>6821</v>
      </c>
      <c r="AI34" s="572">
        <v>160</v>
      </c>
      <c r="AJ34" s="572"/>
      <c r="AK34" s="572"/>
    </row>
    <row r="35" spans="1:37">
      <c r="A35" s="567">
        <v>2</v>
      </c>
      <c r="B35" s="540" t="s">
        <v>464</v>
      </c>
      <c r="C35" s="569">
        <v>7</v>
      </c>
      <c r="D35" s="1095">
        <f t="shared" ref="D35:D37" si="3">E35</f>
        <v>1262</v>
      </c>
      <c r="E35" s="1096">
        <f t="shared" ref="E35:E37" si="4">F35+G35+H35</f>
        <v>1262</v>
      </c>
      <c r="F35" s="541">
        <f>837</f>
        <v>837</v>
      </c>
      <c r="G35" s="541">
        <v>262</v>
      </c>
      <c r="H35" s="541">
        <v>163</v>
      </c>
      <c r="I35" s="572"/>
      <c r="J35" s="569">
        <f>D35</f>
        <v>1262</v>
      </c>
      <c r="K35" s="569"/>
      <c r="L35" s="569"/>
      <c r="M35" s="569"/>
      <c r="N35" s="569">
        <v>7</v>
      </c>
      <c r="O35" s="570">
        <v>7</v>
      </c>
      <c r="P35" s="570">
        <v>7</v>
      </c>
      <c r="Q35" s="569"/>
      <c r="R35" s="572">
        <f t="shared" ref="R35:R37" si="5">S35+T35+U35</f>
        <v>1262</v>
      </c>
      <c r="S35" s="541">
        <v>837</v>
      </c>
      <c r="T35" s="541">
        <v>262</v>
      </c>
      <c r="U35" s="541">
        <v>163</v>
      </c>
      <c r="V35" s="572">
        <f t="shared" ref="V35:V37" si="6">R35</f>
        <v>1262</v>
      </c>
      <c r="W35" s="569">
        <f>V35</f>
        <v>1262</v>
      </c>
      <c r="X35" s="569"/>
      <c r="Y35" s="569"/>
      <c r="Z35" s="569"/>
      <c r="AA35" s="570">
        <v>7</v>
      </c>
      <c r="AB35" s="570"/>
      <c r="AC35" s="572">
        <f t="shared" ref="AC35:AC36" si="7">AD35+AE35+AF35</f>
        <v>1313</v>
      </c>
      <c r="AD35" s="569">
        <f>743+74+15</f>
        <v>832</v>
      </c>
      <c r="AE35" s="569">
        <f>290+5</f>
        <v>295</v>
      </c>
      <c r="AF35" s="569">
        <f>183+3</f>
        <v>186</v>
      </c>
      <c r="AG35" s="569"/>
      <c r="AH35" s="569"/>
      <c r="AI35" s="569"/>
      <c r="AJ35" s="569"/>
      <c r="AK35" s="569"/>
    </row>
    <row r="36" spans="1:37">
      <c r="A36" s="567">
        <v>3</v>
      </c>
      <c r="B36" s="543" t="s">
        <v>465</v>
      </c>
      <c r="C36" s="569">
        <v>16</v>
      </c>
      <c r="D36" s="1095">
        <f t="shared" si="3"/>
        <v>1606</v>
      </c>
      <c r="E36" s="1096">
        <f t="shared" si="4"/>
        <v>1606</v>
      </c>
      <c r="F36" s="544">
        <f>1043</f>
        <v>1043</v>
      </c>
      <c r="G36" s="544">
        <v>312</v>
      </c>
      <c r="H36" s="544">
        <v>251</v>
      </c>
      <c r="I36" s="572"/>
      <c r="J36" s="569">
        <f t="shared" ref="J36:J38" si="8">D36</f>
        <v>1606</v>
      </c>
      <c r="K36" s="572"/>
      <c r="L36" s="572"/>
      <c r="M36" s="572"/>
      <c r="N36" s="569">
        <v>16</v>
      </c>
      <c r="O36" s="570">
        <v>15</v>
      </c>
      <c r="P36" s="570">
        <v>15</v>
      </c>
      <c r="Q36" s="572"/>
      <c r="R36" s="572">
        <f t="shared" si="5"/>
        <v>1666</v>
      </c>
      <c r="S36" s="544">
        <f>1043+60</f>
        <v>1103</v>
      </c>
      <c r="T36" s="544">
        <v>312</v>
      </c>
      <c r="U36" s="544">
        <v>251</v>
      </c>
      <c r="V36" s="572">
        <f t="shared" si="6"/>
        <v>1666</v>
      </c>
      <c r="W36" s="572">
        <f>V36</f>
        <v>1666</v>
      </c>
      <c r="X36" s="572"/>
      <c r="Y36" s="572"/>
      <c r="Z36" s="572"/>
      <c r="AA36" s="570">
        <v>16</v>
      </c>
      <c r="AB36" s="573"/>
      <c r="AC36" s="572">
        <f t="shared" si="7"/>
        <v>2241</v>
      </c>
      <c r="AD36" s="572">
        <f>1291+66+15+129</f>
        <v>1501</v>
      </c>
      <c r="AE36" s="572">
        <f>388+26+4</f>
        <v>418</v>
      </c>
      <c r="AF36" s="572">
        <f>303+15+4</f>
        <v>322</v>
      </c>
      <c r="AG36" s="572"/>
      <c r="AH36" s="572"/>
      <c r="AI36" s="572"/>
      <c r="AJ36" s="572"/>
      <c r="AK36" s="572"/>
    </row>
    <row r="37" spans="1:37">
      <c r="A37" s="576">
        <v>4</v>
      </c>
      <c r="B37" s="547" t="s">
        <v>466</v>
      </c>
      <c r="C37" s="578">
        <v>92</v>
      </c>
      <c r="D37" s="1095">
        <f t="shared" si="3"/>
        <v>13356</v>
      </c>
      <c r="E37" s="1096">
        <f t="shared" si="4"/>
        <v>13356</v>
      </c>
      <c r="F37" s="548">
        <f>7835</f>
        <v>7835</v>
      </c>
      <c r="G37" s="548">
        <v>3617</v>
      </c>
      <c r="H37" s="548">
        <v>1904</v>
      </c>
      <c r="I37" s="572"/>
      <c r="J37" s="569">
        <f t="shared" si="8"/>
        <v>13356</v>
      </c>
      <c r="K37" s="579"/>
      <c r="L37" s="579"/>
      <c r="M37" s="579"/>
      <c r="N37" s="578">
        <v>92</v>
      </c>
      <c r="O37" s="580">
        <v>85</v>
      </c>
      <c r="P37" s="580">
        <v>85</v>
      </c>
      <c r="Q37" s="579"/>
      <c r="R37" s="572">
        <f t="shared" si="5"/>
        <v>13792</v>
      </c>
      <c r="S37" s="548">
        <f>7835+436</f>
        <v>8271</v>
      </c>
      <c r="T37" s="548">
        <v>3617</v>
      </c>
      <c r="U37" s="548">
        <v>1904</v>
      </c>
      <c r="V37" s="572">
        <f t="shared" si="6"/>
        <v>13792</v>
      </c>
      <c r="W37" s="579">
        <f>V37</f>
        <v>13792</v>
      </c>
      <c r="X37" s="579"/>
      <c r="Y37" s="579"/>
      <c r="Z37" s="579"/>
      <c r="AA37" s="580">
        <v>92</v>
      </c>
      <c r="AB37" s="581"/>
      <c r="AC37" s="572">
        <f>AD37+AE37+AF37</f>
        <v>16641</v>
      </c>
      <c r="AD37" s="579">
        <f>8751+460+154+875</f>
        <v>10240</v>
      </c>
      <c r="AE37" s="579">
        <f>3872+184+81</f>
        <v>4137</v>
      </c>
      <c r="AF37" s="579">
        <f>2116+108+40</f>
        <v>2264</v>
      </c>
      <c r="AG37" s="579"/>
      <c r="AH37" s="579"/>
      <c r="AI37" s="579"/>
      <c r="AJ37" s="579"/>
      <c r="AK37" s="579"/>
    </row>
    <row r="38" spans="1:37">
      <c r="A38" s="582"/>
      <c r="B38" s="583"/>
      <c r="C38" s="584"/>
      <c r="D38" s="1097"/>
      <c r="E38" s="1098"/>
      <c r="F38" s="1098"/>
      <c r="G38" s="1098"/>
      <c r="H38" s="1098"/>
      <c r="I38" s="585"/>
      <c r="J38" s="569">
        <f t="shared" si="8"/>
        <v>0</v>
      </c>
      <c r="K38" s="585"/>
      <c r="L38" s="585"/>
      <c r="M38" s="585"/>
      <c r="N38" s="584"/>
      <c r="O38" s="580"/>
      <c r="P38" s="580"/>
      <c r="Q38" s="585"/>
      <c r="R38" s="585"/>
      <c r="S38" s="585"/>
      <c r="T38" s="585"/>
      <c r="U38" s="585"/>
      <c r="V38" s="585"/>
      <c r="W38" s="585"/>
      <c r="X38" s="585"/>
      <c r="Y38" s="585"/>
      <c r="Z38" s="585"/>
      <c r="AA38" s="580"/>
      <c r="AB38" s="581"/>
      <c r="AC38" s="585">
        <f>AD37+AE37+AF37</f>
        <v>16641</v>
      </c>
      <c r="AD38" s="585"/>
      <c r="AE38" s="585"/>
      <c r="AF38" s="585"/>
      <c r="AG38" s="585"/>
      <c r="AH38" s="585"/>
      <c r="AI38" s="585"/>
      <c r="AJ38" s="585"/>
      <c r="AK38" s="585"/>
    </row>
    <row r="39" spans="1:37">
      <c r="A39" s="587"/>
      <c r="B39" s="574"/>
      <c r="C39" s="584"/>
      <c r="D39" s="1099"/>
      <c r="E39" s="585"/>
      <c r="F39" s="585"/>
      <c r="G39" s="585"/>
      <c r="H39" s="585"/>
      <c r="I39" s="585"/>
      <c r="J39" s="585"/>
      <c r="K39" s="585"/>
      <c r="L39" s="585"/>
      <c r="M39" s="585"/>
      <c r="N39" s="584"/>
      <c r="O39" s="580"/>
      <c r="P39" s="580"/>
      <c r="Q39" s="585"/>
      <c r="R39" s="585"/>
      <c r="S39" s="585"/>
      <c r="T39" s="585"/>
      <c r="U39" s="585"/>
      <c r="V39" s="585"/>
      <c r="W39" s="585"/>
      <c r="X39" s="585"/>
      <c r="Y39" s="585"/>
      <c r="Z39" s="585"/>
      <c r="AA39" s="580"/>
      <c r="AB39" s="581"/>
      <c r="AC39" s="585"/>
      <c r="AD39" s="585"/>
      <c r="AE39" s="585"/>
      <c r="AF39" s="585"/>
      <c r="AG39" s="585"/>
      <c r="AH39" s="585"/>
      <c r="AI39" s="585"/>
      <c r="AJ39" s="585"/>
      <c r="AK39" s="585"/>
    </row>
    <row r="40" spans="1:37">
      <c r="X40" s="1100" t="s">
        <v>467</v>
      </c>
      <c r="Y40" s="1100"/>
      <c r="Z40" s="1100"/>
      <c r="AA40" s="1100"/>
      <c r="AB40" s="1100"/>
      <c r="AC40" s="1100"/>
      <c r="AD40" s="1100"/>
      <c r="AE40" s="1100"/>
      <c r="AF40" s="1100"/>
      <c r="AG40" s="1100"/>
      <c r="AH40" s="1100"/>
      <c r="AI40" s="1100"/>
      <c r="AJ40" s="1100"/>
      <c r="AK40" s="1100"/>
    </row>
  </sheetData>
  <mergeCells count="93">
    <mergeCell ref="AI30:AI31"/>
    <mergeCell ref="AJ30:AJ31"/>
    <mergeCell ref="AK30:AK31"/>
    <mergeCell ref="X40:AK40"/>
    <mergeCell ref="AH29:AK29"/>
    <mergeCell ref="E30:H30"/>
    <mergeCell ref="I30:I31"/>
    <mergeCell ref="J30:J31"/>
    <mergeCell ref="K30:K31"/>
    <mergeCell ref="L30:L31"/>
    <mergeCell ref="M30:M31"/>
    <mergeCell ref="R30:U30"/>
    <mergeCell ref="V30:V31"/>
    <mergeCell ref="W30:W31"/>
    <mergeCell ref="X30:X31"/>
    <mergeCell ref="Y30:Y31"/>
    <mergeCell ref="Z30:Z31"/>
    <mergeCell ref="AC30:AF30"/>
    <mergeCell ref="AG30:AG31"/>
    <mergeCell ref="AH30:AH31"/>
    <mergeCell ref="N28:Q28"/>
    <mergeCell ref="R28:Z28"/>
    <mergeCell ref="AA28:AK28"/>
    <mergeCell ref="C29:C31"/>
    <mergeCell ref="D29:D31"/>
    <mergeCell ref="E29:I29"/>
    <mergeCell ref="J29:M29"/>
    <mergeCell ref="N29:N31"/>
    <mergeCell ref="O29:O31"/>
    <mergeCell ref="P29:P31"/>
    <mergeCell ref="Q29:Q31"/>
    <mergeCell ref="R29:V29"/>
    <mergeCell ref="W29:Z29"/>
    <mergeCell ref="AA29:AA31"/>
    <mergeCell ref="AB29:AB31"/>
    <mergeCell ref="AC29:AG29"/>
    <mergeCell ref="A25:M25"/>
    <mergeCell ref="B27:C27"/>
    <mergeCell ref="K27:M27"/>
    <mergeCell ref="A28:A31"/>
    <mergeCell ref="B28:B31"/>
    <mergeCell ref="C28:M28"/>
    <mergeCell ref="A21:B21"/>
    <mergeCell ref="K21:L21"/>
    <mergeCell ref="AJ21:AK21"/>
    <mergeCell ref="A23:B23"/>
    <mergeCell ref="A24:M24"/>
    <mergeCell ref="AH10:AH11"/>
    <mergeCell ref="AI10:AI11"/>
    <mergeCell ref="AJ10:AJ11"/>
    <mergeCell ref="AK10:AK11"/>
    <mergeCell ref="N8:Q8"/>
    <mergeCell ref="R8:Z8"/>
    <mergeCell ref="AA8:AK8"/>
    <mergeCell ref="O9:O11"/>
    <mergeCell ref="P9:P11"/>
    <mergeCell ref="AH9:AK9"/>
    <mergeCell ref="R10:U10"/>
    <mergeCell ref="V10:V11"/>
    <mergeCell ref="W10:W11"/>
    <mergeCell ref="Q9:Q11"/>
    <mergeCell ref="R9:V9"/>
    <mergeCell ref="W9:Z9"/>
    <mergeCell ref="AA9:AA11"/>
    <mergeCell ref="AB9:AB11"/>
    <mergeCell ref="AC9:AG9"/>
    <mergeCell ref="AG10:AG11"/>
    <mergeCell ref="N9:N11"/>
    <mergeCell ref="X10:X11"/>
    <mergeCell ref="Y10:Y11"/>
    <mergeCell ref="Z10:Z11"/>
    <mergeCell ref="AC10:AF10"/>
    <mergeCell ref="A5:M5"/>
    <mergeCell ref="B7:C7"/>
    <mergeCell ref="K7:M7"/>
    <mergeCell ref="A8:A11"/>
    <mergeCell ref="B8:B11"/>
    <mergeCell ref="C8:M8"/>
    <mergeCell ref="C9:C11"/>
    <mergeCell ref="D9:D11"/>
    <mergeCell ref="E9:I9"/>
    <mergeCell ref="J9:M9"/>
    <mergeCell ref="E10:H10"/>
    <mergeCell ref="I10:I11"/>
    <mergeCell ref="J10:J11"/>
    <mergeCell ref="K10:K11"/>
    <mergeCell ref="L10:L11"/>
    <mergeCell ref="M10:M11"/>
    <mergeCell ref="A4:M4"/>
    <mergeCell ref="K1:L1"/>
    <mergeCell ref="AJ1:AK1"/>
    <mergeCell ref="A3:B3"/>
    <mergeCell ref="A1:B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B19" sqref="B19"/>
    </sheetView>
  </sheetViews>
  <sheetFormatPr defaultRowHeight="15"/>
  <cols>
    <col min="1" max="1" width="5.44140625" customWidth="1"/>
    <col min="2" max="2" width="17.33203125" customWidth="1"/>
  </cols>
  <sheetData>
    <row r="1" spans="1:24" ht="15.75">
      <c r="A1" s="867" t="s">
        <v>49</v>
      </c>
      <c r="B1" s="867"/>
      <c r="C1" s="606"/>
      <c r="D1" s="520"/>
      <c r="E1" s="520"/>
      <c r="F1" s="520"/>
      <c r="G1" s="520"/>
      <c r="H1" s="520"/>
      <c r="I1" s="520"/>
      <c r="J1" s="520"/>
      <c r="K1" s="520"/>
      <c r="L1" s="1039" t="s">
        <v>122</v>
      </c>
      <c r="M1" s="1039"/>
      <c r="N1" s="520"/>
      <c r="O1" s="520"/>
      <c r="P1" s="520"/>
      <c r="Q1" s="520"/>
      <c r="R1" s="520"/>
      <c r="S1" s="520"/>
      <c r="T1" s="520"/>
      <c r="U1" s="520"/>
      <c r="V1" s="520"/>
      <c r="W1" s="519"/>
      <c r="X1" s="519"/>
    </row>
    <row r="2" spans="1:24" ht="15.75">
      <c r="A2" s="228" t="s">
        <v>39</v>
      </c>
      <c r="B2" s="228"/>
      <c r="C2" s="607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819"/>
      <c r="X2" s="819"/>
    </row>
    <row r="3" spans="1:24" ht="15.75">
      <c r="A3" s="519"/>
      <c r="B3" s="519"/>
      <c r="C3" s="520"/>
      <c r="D3" s="520"/>
      <c r="E3" s="520"/>
      <c r="F3" s="522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</row>
    <row r="4" spans="1:24" ht="18.75">
      <c r="A4" s="1040" t="s">
        <v>182</v>
      </c>
      <c r="B4" s="1040"/>
      <c r="C4" s="1040"/>
      <c r="D4" s="1040"/>
      <c r="E4" s="1040"/>
      <c r="F4" s="1040"/>
      <c r="G4" s="1040"/>
      <c r="H4" s="1040"/>
      <c r="I4" s="1040"/>
      <c r="J4" s="1040"/>
      <c r="K4" s="1040"/>
      <c r="L4" s="1040"/>
      <c r="M4" s="1040"/>
      <c r="N4" s="523"/>
      <c r="O4" s="523"/>
      <c r="P4" s="523"/>
      <c r="Q4" s="523"/>
      <c r="R4" s="523"/>
      <c r="S4" s="523"/>
      <c r="T4" s="523"/>
      <c r="U4" s="523"/>
      <c r="V4" s="523"/>
      <c r="W4" s="523"/>
      <c r="X4" s="523"/>
    </row>
    <row r="5" spans="1:24" ht="18.75">
      <c r="A5" s="817"/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  <c r="T5" s="817"/>
      <c r="U5" s="817"/>
      <c r="V5" s="817"/>
      <c r="W5" s="817"/>
      <c r="X5" s="817"/>
    </row>
    <row r="6" spans="1:24">
      <c r="A6" s="525"/>
      <c r="B6" s="1041" t="s">
        <v>123</v>
      </c>
      <c r="C6" s="1041"/>
      <c r="D6" s="526"/>
      <c r="E6" s="525"/>
      <c r="F6" s="527"/>
      <c r="G6" s="525"/>
      <c r="H6" s="525"/>
      <c r="I6" s="525"/>
      <c r="J6" s="525"/>
      <c r="K6" s="1042" t="s">
        <v>99</v>
      </c>
      <c r="L6" s="1042"/>
      <c r="M6" s="1042"/>
      <c r="N6" s="525"/>
      <c r="O6" s="525"/>
      <c r="P6" s="528"/>
      <c r="Q6" s="528"/>
      <c r="R6" s="528"/>
      <c r="S6" s="529"/>
      <c r="T6" s="529"/>
      <c r="U6" s="529"/>
      <c r="V6" s="519"/>
      <c r="W6" s="519"/>
      <c r="X6" s="519"/>
    </row>
    <row r="7" spans="1:24">
      <c r="A7" s="1051" t="s">
        <v>12</v>
      </c>
      <c r="B7" s="1053" t="s">
        <v>97</v>
      </c>
      <c r="C7" s="1048" t="s">
        <v>185</v>
      </c>
      <c r="D7" s="1049"/>
      <c r="E7" s="1049"/>
      <c r="F7" s="1049"/>
      <c r="G7" s="1049"/>
      <c r="H7" s="1050"/>
      <c r="I7" s="1043" t="s">
        <v>124</v>
      </c>
      <c r="J7" s="1044"/>
      <c r="K7" s="1044"/>
      <c r="L7" s="1044"/>
      <c r="M7" s="1045"/>
      <c r="N7" s="1048" t="s">
        <v>184</v>
      </c>
      <c r="O7" s="1049"/>
      <c r="P7" s="1049"/>
      <c r="Q7" s="1049"/>
      <c r="R7" s="1049"/>
      <c r="S7" s="1050"/>
      <c r="T7" s="1043" t="s">
        <v>183</v>
      </c>
      <c r="U7" s="1044"/>
      <c r="V7" s="1044"/>
      <c r="W7" s="1044"/>
      <c r="X7" s="1045"/>
    </row>
    <row r="8" spans="1:24">
      <c r="A8" s="1052"/>
      <c r="B8" s="1054"/>
      <c r="C8" s="1046" t="s">
        <v>125</v>
      </c>
      <c r="D8" s="1046" t="s">
        <v>126</v>
      </c>
      <c r="E8" s="1046" t="s">
        <v>127</v>
      </c>
      <c r="F8" s="1048" t="s">
        <v>46</v>
      </c>
      <c r="G8" s="1049"/>
      <c r="H8" s="1050"/>
      <c r="I8" s="1046" t="s">
        <v>125</v>
      </c>
      <c r="J8" s="1046" t="s">
        <v>127</v>
      </c>
      <c r="K8" s="1048" t="s">
        <v>46</v>
      </c>
      <c r="L8" s="1049"/>
      <c r="M8" s="1050"/>
      <c r="N8" s="1046" t="s">
        <v>125</v>
      </c>
      <c r="O8" s="1046" t="s">
        <v>126</v>
      </c>
      <c r="P8" s="1046" t="s">
        <v>127</v>
      </c>
      <c r="Q8" s="1048" t="s">
        <v>46</v>
      </c>
      <c r="R8" s="1049"/>
      <c r="S8" s="1050"/>
      <c r="T8" s="1046" t="s">
        <v>125</v>
      </c>
      <c r="U8" s="1046" t="s">
        <v>127</v>
      </c>
      <c r="V8" s="1048" t="s">
        <v>46</v>
      </c>
      <c r="W8" s="1049"/>
      <c r="X8" s="1050"/>
    </row>
    <row r="9" spans="1:24" ht="38.25">
      <c r="A9" s="1052"/>
      <c r="B9" s="1055"/>
      <c r="C9" s="1047"/>
      <c r="D9" s="1047"/>
      <c r="E9" s="1047"/>
      <c r="F9" s="816" t="s">
        <v>128</v>
      </c>
      <c r="G9" s="816" t="s">
        <v>129</v>
      </c>
      <c r="H9" s="816" t="s">
        <v>130</v>
      </c>
      <c r="I9" s="1047"/>
      <c r="J9" s="1047"/>
      <c r="K9" s="816" t="s">
        <v>128</v>
      </c>
      <c r="L9" s="816" t="s">
        <v>129</v>
      </c>
      <c r="M9" s="816" t="s">
        <v>130</v>
      </c>
      <c r="N9" s="1047"/>
      <c r="O9" s="1047"/>
      <c r="P9" s="1047"/>
      <c r="Q9" s="816" t="s">
        <v>128</v>
      </c>
      <c r="R9" s="816" t="s">
        <v>129</v>
      </c>
      <c r="S9" s="816" t="s">
        <v>130</v>
      </c>
      <c r="T9" s="1047"/>
      <c r="U9" s="1047"/>
      <c r="V9" s="816" t="s">
        <v>128</v>
      </c>
      <c r="W9" s="816" t="s">
        <v>129</v>
      </c>
      <c r="X9" s="816" t="s">
        <v>130</v>
      </c>
    </row>
    <row r="10" spans="1:24">
      <c r="A10" s="531" t="s">
        <v>16</v>
      </c>
      <c r="B10" s="531" t="s">
        <v>17</v>
      </c>
      <c r="C10" s="532">
        <v>1</v>
      </c>
      <c r="D10" s="532">
        <v>2</v>
      </c>
      <c r="E10" s="532" t="s">
        <v>131</v>
      </c>
      <c r="F10" s="532">
        <v>4</v>
      </c>
      <c r="G10" s="532">
        <v>5</v>
      </c>
      <c r="H10" s="532">
        <v>6</v>
      </c>
      <c r="I10" s="532">
        <v>7</v>
      </c>
      <c r="J10" s="532" t="s">
        <v>132</v>
      </c>
      <c r="K10" s="532">
        <v>9</v>
      </c>
      <c r="L10" s="532">
        <v>10</v>
      </c>
      <c r="M10" s="532">
        <v>11</v>
      </c>
      <c r="N10" s="532">
        <v>12</v>
      </c>
      <c r="O10" s="532">
        <v>13</v>
      </c>
      <c r="P10" s="532" t="s">
        <v>133</v>
      </c>
      <c r="Q10" s="532">
        <v>15</v>
      </c>
      <c r="R10" s="532">
        <v>16</v>
      </c>
      <c r="S10" s="532">
        <v>17</v>
      </c>
      <c r="T10" s="532">
        <v>18</v>
      </c>
      <c r="U10" s="532" t="s">
        <v>134</v>
      </c>
      <c r="V10" s="532">
        <v>20</v>
      </c>
      <c r="W10" s="532">
        <v>21</v>
      </c>
      <c r="X10" s="532">
        <v>22</v>
      </c>
    </row>
    <row r="11" spans="1:24" ht="15.75">
      <c r="A11" s="533"/>
      <c r="B11" s="534" t="s">
        <v>106</v>
      </c>
      <c r="C11" s="535">
        <v>40</v>
      </c>
      <c r="D11" s="535">
        <f t="shared" ref="D11:X11" si="0">D12</f>
        <v>33</v>
      </c>
      <c r="E11" s="535">
        <f>SUM(E12:E15)</f>
        <v>26069.8</v>
      </c>
      <c r="F11" s="535">
        <f>SUM(F12:F15)</f>
        <v>9862.7999999999993</v>
      </c>
      <c r="G11" s="535">
        <f>SUM(G12:G15)</f>
        <v>13824</v>
      </c>
      <c r="H11" s="535">
        <f>SUM(H12:H15)</f>
        <v>2383</v>
      </c>
      <c r="I11" s="535"/>
      <c r="J11" s="535">
        <f>SUM(J12:J15)</f>
        <v>21233</v>
      </c>
      <c r="K11" s="535">
        <f>SUM(K12:K15)</f>
        <v>12597</v>
      </c>
      <c r="L11" s="535">
        <f>SUM(L12:L15)</f>
        <v>5612</v>
      </c>
      <c r="M11" s="535">
        <f>SUM(M12:M15)</f>
        <v>3024</v>
      </c>
      <c r="N11" s="535"/>
      <c r="O11" s="535"/>
      <c r="P11" s="535">
        <f>SUM(P12:P15)</f>
        <v>21233</v>
      </c>
      <c r="Q11" s="535">
        <f>SUM(Q12:Q15)</f>
        <v>12597</v>
      </c>
      <c r="R11" s="535">
        <f>SUM(R12:R15)</f>
        <v>5612</v>
      </c>
      <c r="S11" s="535">
        <f>SUM(S12:S15)</f>
        <v>3024</v>
      </c>
      <c r="T11" s="535"/>
      <c r="U11" s="535">
        <f t="shared" si="0"/>
        <v>0</v>
      </c>
      <c r="V11" s="535">
        <f t="shared" si="0"/>
        <v>0</v>
      </c>
      <c r="W11" s="535">
        <f t="shared" si="0"/>
        <v>0</v>
      </c>
      <c r="X11" s="535">
        <f t="shared" si="0"/>
        <v>0</v>
      </c>
    </row>
    <row r="12" spans="1:24">
      <c r="A12" s="536"/>
      <c r="B12" s="1092" t="s">
        <v>463</v>
      </c>
      <c r="C12" s="538">
        <v>40</v>
      </c>
      <c r="D12" s="538">
        <v>33</v>
      </c>
      <c r="E12" s="538">
        <f>F12+G12+H12</f>
        <v>5992.8</v>
      </c>
      <c r="F12" s="538">
        <f>2259.8</f>
        <v>2259.8000000000002</v>
      </c>
      <c r="G12" s="538">
        <v>3179</v>
      </c>
      <c r="H12" s="538">
        <v>554</v>
      </c>
      <c r="I12" s="538">
        <v>40</v>
      </c>
      <c r="J12" s="538">
        <f>K12+L12+M12</f>
        <v>5009</v>
      </c>
      <c r="K12" s="538">
        <v>2882</v>
      </c>
      <c r="L12" s="538">
        <v>1421</v>
      </c>
      <c r="M12" s="538">
        <v>706</v>
      </c>
      <c r="N12" s="538">
        <v>40</v>
      </c>
      <c r="O12" s="538">
        <v>35</v>
      </c>
      <c r="P12" s="538">
        <f>Q12+R12+S12</f>
        <v>5009</v>
      </c>
      <c r="Q12" s="538">
        <v>2882</v>
      </c>
      <c r="R12" s="538">
        <v>1421</v>
      </c>
      <c r="S12" s="538">
        <v>706</v>
      </c>
      <c r="T12" s="538">
        <v>40</v>
      </c>
      <c r="U12" s="538"/>
      <c r="V12" s="538"/>
      <c r="W12" s="538"/>
      <c r="X12" s="538"/>
    </row>
    <row r="13" spans="1:24" ht="15.75">
      <c r="A13" s="539"/>
      <c r="B13" s="540" t="s">
        <v>464</v>
      </c>
      <c r="C13" s="541">
        <v>7</v>
      </c>
      <c r="D13" s="541">
        <v>7</v>
      </c>
      <c r="E13" s="538">
        <f t="shared" ref="E13:E15" si="1">F13+G13+H13</f>
        <v>833</v>
      </c>
      <c r="F13" s="541">
        <v>505</v>
      </c>
      <c r="G13" s="541">
        <v>204</v>
      </c>
      <c r="H13" s="541">
        <v>124</v>
      </c>
      <c r="I13" s="541">
        <v>7</v>
      </c>
      <c r="J13" s="538">
        <f t="shared" ref="J13:J15" si="2">K13+L13+M13</f>
        <v>1262</v>
      </c>
      <c r="K13" s="541">
        <v>837</v>
      </c>
      <c r="L13" s="541">
        <v>262</v>
      </c>
      <c r="M13" s="541">
        <v>163</v>
      </c>
      <c r="N13" s="541">
        <v>7</v>
      </c>
      <c r="O13" s="541">
        <v>7</v>
      </c>
      <c r="P13" s="538">
        <f t="shared" ref="P13:P15" si="3">Q13+R13+S13</f>
        <v>1262</v>
      </c>
      <c r="Q13" s="541">
        <v>837</v>
      </c>
      <c r="R13" s="541">
        <v>262</v>
      </c>
      <c r="S13" s="541">
        <v>163</v>
      </c>
      <c r="T13" s="541">
        <v>7</v>
      </c>
      <c r="U13" s="541"/>
      <c r="V13" s="541"/>
      <c r="W13" s="541"/>
      <c r="X13" s="541"/>
    </row>
    <row r="14" spans="1:24" ht="15.75">
      <c r="A14" s="542"/>
      <c r="B14" s="543" t="s">
        <v>465</v>
      </c>
      <c r="C14" s="544">
        <v>16</v>
      </c>
      <c r="D14" s="544">
        <v>13</v>
      </c>
      <c r="E14" s="538">
        <f t="shared" si="1"/>
        <v>1152</v>
      </c>
      <c r="F14" s="544">
        <v>750</v>
      </c>
      <c r="G14" s="544">
        <v>225</v>
      </c>
      <c r="H14" s="544">
        <v>177</v>
      </c>
      <c r="I14" s="544">
        <v>16</v>
      </c>
      <c r="J14" s="538">
        <f t="shared" si="2"/>
        <v>1606</v>
      </c>
      <c r="K14" s="544">
        <v>1043</v>
      </c>
      <c r="L14" s="544">
        <v>312</v>
      </c>
      <c r="M14" s="544">
        <v>251</v>
      </c>
      <c r="N14" s="544">
        <v>15</v>
      </c>
      <c r="O14" s="544">
        <v>15</v>
      </c>
      <c r="P14" s="538">
        <f t="shared" si="3"/>
        <v>1606</v>
      </c>
      <c r="Q14" s="544">
        <v>1043</v>
      </c>
      <c r="R14" s="544">
        <v>312</v>
      </c>
      <c r="S14" s="544">
        <v>251</v>
      </c>
      <c r="T14" s="544">
        <v>16</v>
      </c>
      <c r="U14" s="544"/>
      <c r="V14" s="544"/>
      <c r="W14" s="544"/>
      <c r="X14" s="544"/>
    </row>
    <row r="15" spans="1:24" ht="15.75">
      <c r="A15" s="546"/>
      <c r="B15" s="547" t="s">
        <v>466</v>
      </c>
      <c r="C15" s="548">
        <v>92</v>
      </c>
      <c r="D15" s="548">
        <v>89</v>
      </c>
      <c r="E15" s="538">
        <f t="shared" si="1"/>
        <v>18092</v>
      </c>
      <c r="F15" s="548">
        <v>6348</v>
      </c>
      <c r="G15" s="548">
        <v>10216</v>
      </c>
      <c r="H15" s="548">
        <v>1528</v>
      </c>
      <c r="I15" s="548">
        <v>92</v>
      </c>
      <c r="J15" s="538">
        <f t="shared" si="2"/>
        <v>13356</v>
      </c>
      <c r="K15" s="548">
        <v>7835</v>
      </c>
      <c r="L15" s="548">
        <v>3617</v>
      </c>
      <c r="M15" s="548">
        <v>1904</v>
      </c>
      <c r="N15" s="541">
        <v>85</v>
      </c>
      <c r="O15" s="548">
        <v>85</v>
      </c>
      <c r="P15" s="538">
        <f t="shared" si="3"/>
        <v>13356</v>
      </c>
      <c r="Q15" s="548">
        <v>7835</v>
      </c>
      <c r="R15" s="548">
        <v>3617</v>
      </c>
      <c r="S15" s="548">
        <v>1904</v>
      </c>
      <c r="T15" s="541">
        <v>92</v>
      </c>
      <c r="U15" s="544"/>
      <c r="V15" s="548"/>
      <c r="W15" s="548"/>
      <c r="X15" s="548"/>
    </row>
  </sheetData>
  <mergeCells count="25">
    <mergeCell ref="O8:O9"/>
    <mergeCell ref="P8:P9"/>
    <mergeCell ref="Q8:S8"/>
    <mergeCell ref="T8:T9"/>
    <mergeCell ref="U8:U9"/>
    <mergeCell ref="V8:X8"/>
    <mergeCell ref="N7:S7"/>
    <mergeCell ref="T7:X7"/>
    <mergeCell ref="C8:C9"/>
    <mergeCell ref="D8:D9"/>
    <mergeCell ref="E8:E9"/>
    <mergeCell ref="F8:H8"/>
    <mergeCell ref="I8:I9"/>
    <mergeCell ref="J8:J9"/>
    <mergeCell ref="K8:M8"/>
    <mergeCell ref="N8:N9"/>
    <mergeCell ref="A1:B1"/>
    <mergeCell ref="L1:M1"/>
    <mergeCell ref="A4:M4"/>
    <mergeCell ref="B6:C6"/>
    <mergeCell ref="K6:M6"/>
    <mergeCell ref="A7:A9"/>
    <mergeCell ref="B7:B9"/>
    <mergeCell ref="C7:H7"/>
    <mergeCell ref="I7:M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workbookViewId="0">
      <selection activeCell="E27" sqref="E27"/>
    </sheetView>
  </sheetViews>
  <sheetFormatPr defaultRowHeight="15"/>
  <cols>
    <col min="1" max="1" width="5.6640625" customWidth="1"/>
    <col min="2" max="2" width="15.5546875" customWidth="1"/>
    <col min="3" max="3" width="8.5546875" customWidth="1"/>
  </cols>
  <sheetData>
    <row r="1" spans="1:37" ht="15.75">
      <c r="A1" s="1101" t="s">
        <v>49</v>
      </c>
      <c r="B1" s="1101"/>
      <c r="C1" s="1101"/>
      <c r="D1" s="520"/>
      <c r="E1" s="520"/>
      <c r="F1" s="520"/>
      <c r="G1" s="520"/>
      <c r="H1" s="520"/>
      <c r="I1" s="520"/>
      <c r="J1" s="520"/>
      <c r="K1" s="1039" t="s">
        <v>135</v>
      </c>
      <c r="L1" s="1039"/>
      <c r="M1" s="520"/>
      <c r="N1" s="520"/>
      <c r="O1" s="555"/>
      <c r="P1" s="555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55"/>
      <c r="AB1" s="555"/>
      <c r="AC1" s="520"/>
      <c r="AD1" s="520"/>
      <c r="AE1" s="520"/>
      <c r="AF1" s="520"/>
      <c r="AG1" s="520"/>
      <c r="AH1" s="520"/>
      <c r="AI1" s="520"/>
      <c r="AJ1" s="1056" t="s">
        <v>135</v>
      </c>
      <c r="AK1" s="1056"/>
    </row>
    <row r="2" spans="1:37" ht="15.75">
      <c r="A2" s="1102" t="s">
        <v>468</v>
      </c>
      <c r="B2" s="1102"/>
      <c r="C2" s="1102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55"/>
      <c r="P2" s="555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55"/>
      <c r="AB2" s="555"/>
      <c r="AC2" s="520"/>
      <c r="AD2" s="520"/>
      <c r="AE2" s="520"/>
      <c r="AF2" s="520"/>
      <c r="AG2" s="520"/>
      <c r="AH2" s="520"/>
      <c r="AI2" s="520"/>
      <c r="AJ2" s="819"/>
      <c r="AK2" s="819"/>
    </row>
    <row r="3" spans="1:37" ht="15.75">
      <c r="A3" s="1041"/>
      <c r="B3" s="1041"/>
      <c r="C3" s="520"/>
      <c r="D3" s="520"/>
      <c r="E3" s="520"/>
      <c r="F3" s="522"/>
      <c r="G3" s="520"/>
      <c r="H3" s="520"/>
      <c r="I3" s="520"/>
      <c r="J3" s="520"/>
      <c r="K3" s="520"/>
      <c r="L3" s="520"/>
      <c r="M3" s="520"/>
      <c r="N3" s="520"/>
      <c r="O3" s="555"/>
      <c r="P3" s="555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55"/>
      <c r="AB3" s="555"/>
      <c r="AC3" s="520"/>
      <c r="AD3" s="520"/>
      <c r="AE3" s="520"/>
      <c r="AF3" s="520"/>
      <c r="AG3" s="520"/>
      <c r="AH3" s="520"/>
      <c r="AI3" s="520"/>
      <c r="AJ3" s="520"/>
      <c r="AK3" s="520"/>
    </row>
    <row r="4" spans="1:37" ht="18.75">
      <c r="A4" s="1040" t="s">
        <v>136</v>
      </c>
      <c r="B4" s="1040"/>
      <c r="C4" s="1040"/>
      <c r="D4" s="1040"/>
      <c r="E4" s="1040"/>
      <c r="F4" s="1040"/>
      <c r="G4" s="1040"/>
      <c r="H4" s="1040"/>
      <c r="I4" s="1040"/>
      <c r="J4" s="1040"/>
      <c r="K4" s="1040"/>
      <c r="L4" s="1040"/>
      <c r="M4" s="1040"/>
      <c r="N4" s="523"/>
      <c r="O4" s="556"/>
      <c r="P4" s="556"/>
      <c r="Q4" s="523"/>
      <c r="R4" s="523"/>
      <c r="S4" s="523"/>
      <c r="T4" s="523"/>
      <c r="U4" s="523"/>
      <c r="V4" s="523"/>
      <c r="W4" s="523"/>
      <c r="X4" s="523"/>
      <c r="Y4" s="523"/>
      <c r="Z4" s="523"/>
      <c r="AA4" s="556"/>
      <c r="AB4" s="556"/>
      <c r="AC4" s="523"/>
      <c r="AD4" s="523"/>
      <c r="AE4" s="523"/>
      <c r="AF4" s="523"/>
      <c r="AG4" s="523"/>
      <c r="AH4" s="523"/>
      <c r="AI4" s="523"/>
      <c r="AJ4" s="523"/>
      <c r="AK4" s="523"/>
    </row>
    <row r="5" spans="1:37" ht="18.75">
      <c r="A5" s="1040" t="s">
        <v>186</v>
      </c>
      <c r="B5" s="1040"/>
      <c r="C5" s="1040"/>
      <c r="D5" s="1040"/>
      <c r="E5" s="1040"/>
      <c r="F5" s="1040"/>
      <c r="G5" s="1040"/>
      <c r="H5" s="1040"/>
      <c r="I5" s="1040"/>
      <c r="J5" s="1040"/>
      <c r="K5" s="1040"/>
      <c r="L5" s="1040"/>
      <c r="M5" s="1040"/>
      <c r="N5" s="523"/>
      <c r="O5" s="556"/>
      <c r="P5" s="556"/>
      <c r="Q5" s="523"/>
      <c r="R5" s="523"/>
      <c r="S5" s="523"/>
      <c r="T5" s="523"/>
      <c r="U5" s="523"/>
      <c r="V5" s="523"/>
      <c r="W5" s="523"/>
      <c r="X5" s="523"/>
      <c r="Y5" s="523"/>
      <c r="Z5" s="523"/>
      <c r="AA5" s="556"/>
      <c r="AB5" s="556"/>
      <c r="AC5" s="523"/>
      <c r="AD5" s="523"/>
      <c r="AE5" s="523"/>
      <c r="AF5" s="523"/>
      <c r="AG5" s="523"/>
      <c r="AH5" s="523"/>
      <c r="AI5" s="523"/>
      <c r="AJ5" s="523"/>
      <c r="AK5" s="523"/>
    </row>
    <row r="6" spans="1:37" ht="18.75">
      <c r="A6" s="523"/>
      <c r="B6" s="523"/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56"/>
      <c r="P6" s="556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56"/>
      <c r="AB6" s="556"/>
      <c r="AC6" s="523"/>
      <c r="AD6" s="523"/>
      <c r="AE6" s="523"/>
      <c r="AF6" s="523"/>
      <c r="AG6" s="523"/>
      <c r="AH6" s="523"/>
      <c r="AI6" s="523"/>
      <c r="AJ6" s="523"/>
      <c r="AK6" s="523"/>
    </row>
    <row r="7" spans="1:37" ht="18.75">
      <c r="A7" s="529"/>
      <c r="B7" s="1041" t="s">
        <v>123</v>
      </c>
      <c r="C7" s="1041"/>
      <c r="D7" s="526"/>
      <c r="E7" s="529"/>
      <c r="F7" s="527"/>
      <c r="G7" s="529"/>
      <c r="H7" s="529"/>
      <c r="I7" s="529"/>
      <c r="J7" s="529"/>
      <c r="K7" s="1042" t="s">
        <v>99</v>
      </c>
      <c r="L7" s="1042"/>
      <c r="M7" s="1042"/>
      <c r="N7" s="528"/>
      <c r="O7" s="557"/>
      <c r="P7" s="557"/>
      <c r="Q7" s="527"/>
      <c r="R7" s="529"/>
      <c r="S7" s="558"/>
      <c r="T7" s="529"/>
      <c r="U7" s="558"/>
      <c r="V7" s="528"/>
      <c r="W7" s="559"/>
      <c r="X7" s="560"/>
      <c r="Y7" s="561"/>
      <c r="Z7" s="558"/>
      <c r="AA7" s="557"/>
      <c r="AB7" s="557"/>
      <c r="AC7" s="529"/>
      <c r="AD7" s="529"/>
      <c r="AE7" s="558"/>
      <c r="AF7" s="529"/>
      <c r="AG7" s="558"/>
      <c r="AH7" s="27"/>
      <c r="AI7" s="27"/>
      <c r="AJ7" s="27"/>
      <c r="AK7" s="27"/>
    </row>
    <row r="8" spans="1:37">
      <c r="A8" s="1051" t="s">
        <v>12</v>
      </c>
      <c r="B8" s="1057" t="s">
        <v>97</v>
      </c>
      <c r="C8" s="1048" t="s">
        <v>124</v>
      </c>
      <c r="D8" s="1049"/>
      <c r="E8" s="1049"/>
      <c r="F8" s="1049"/>
      <c r="G8" s="1049"/>
      <c r="H8" s="1049"/>
      <c r="I8" s="1049"/>
      <c r="J8" s="1049"/>
      <c r="K8" s="1049"/>
      <c r="L8" s="1049"/>
      <c r="M8" s="1050"/>
      <c r="N8" s="1043"/>
      <c r="O8" s="1044"/>
      <c r="P8" s="1044"/>
      <c r="Q8" s="1044"/>
      <c r="R8" s="1048" t="s">
        <v>184</v>
      </c>
      <c r="S8" s="1049"/>
      <c r="T8" s="1049"/>
      <c r="U8" s="1049"/>
      <c r="V8" s="1049"/>
      <c r="W8" s="1049"/>
      <c r="X8" s="1049"/>
      <c r="Y8" s="1049"/>
      <c r="Z8" s="1050"/>
      <c r="AA8" s="1048" t="s">
        <v>183</v>
      </c>
      <c r="AB8" s="1049"/>
      <c r="AC8" s="1049"/>
      <c r="AD8" s="1049"/>
      <c r="AE8" s="1049"/>
      <c r="AF8" s="1049"/>
      <c r="AG8" s="1049"/>
      <c r="AH8" s="1049"/>
      <c r="AI8" s="1049"/>
      <c r="AJ8" s="1049"/>
      <c r="AK8" s="1050"/>
    </row>
    <row r="9" spans="1:37">
      <c r="A9" s="1052"/>
      <c r="B9" s="1058"/>
      <c r="C9" s="1046" t="s">
        <v>137</v>
      </c>
      <c r="D9" s="1046" t="s">
        <v>138</v>
      </c>
      <c r="E9" s="1048" t="s">
        <v>46</v>
      </c>
      <c r="F9" s="1049"/>
      <c r="G9" s="1049"/>
      <c r="H9" s="1049"/>
      <c r="I9" s="1050"/>
      <c r="J9" s="1048" t="s">
        <v>139</v>
      </c>
      <c r="K9" s="1049"/>
      <c r="L9" s="1049"/>
      <c r="M9" s="1050"/>
      <c r="N9" s="1046" t="s">
        <v>137</v>
      </c>
      <c r="O9" s="1061" t="s">
        <v>140</v>
      </c>
      <c r="P9" s="1061" t="s">
        <v>141</v>
      </c>
      <c r="Q9" s="1046" t="s">
        <v>142</v>
      </c>
      <c r="R9" s="1048" t="s">
        <v>46</v>
      </c>
      <c r="S9" s="1049"/>
      <c r="T9" s="1049"/>
      <c r="U9" s="1049"/>
      <c r="V9" s="1050"/>
      <c r="W9" s="1048" t="s">
        <v>139</v>
      </c>
      <c r="X9" s="1049"/>
      <c r="Y9" s="1049"/>
      <c r="Z9" s="1050"/>
      <c r="AA9" s="1061" t="s">
        <v>137</v>
      </c>
      <c r="AB9" s="1061" t="s">
        <v>138</v>
      </c>
      <c r="AC9" s="1048" t="s">
        <v>46</v>
      </c>
      <c r="AD9" s="1049"/>
      <c r="AE9" s="1049"/>
      <c r="AF9" s="1049"/>
      <c r="AG9" s="1050"/>
      <c r="AH9" s="1048" t="s">
        <v>139</v>
      </c>
      <c r="AI9" s="1049"/>
      <c r="AJ9" s="1049"/>
      <c r="AK9" s="1050"/>
    </row>
    <row r="10" spans="1:37">
      <c r="A10" s="1052"/>
      <c r="B10" s="1058"/>
      <c r="C10" s="1047"/>
      <c r="D10" s="1047"/>
      <c r="E10" s="1048" t="s">
        <v>143</v>
      </c>
      <c r="F10" s="1049"/>
      <c r="G10" s="1049"/>
      <c r="H10" s="1050"/>
      <c r="I10" s="1046" t="s">
        <v>144</v>
      </c>
      <c r="J10" s="1046" t="s">
        <v>145</v>
      </c>
      <c r="K10" s="1046" t="s">
        <v>146</v>
      </c>
      <c r="L10" s="1046" t="s">
        <v>147</v>
      </c>
      <c r="M10" s="1046" t="s">
        <v>148</v>
      </c>
      <c r="N10" s="1047"/>
      <c r="O10" s="1062"/>
      <c r="P10" s="1062"/>
      <c r="Q10" s="1047"/>
      <c r="R10" s="1048" t="s">
        <v>149</v>
      </c>
      <c r="S10" s="1049"/>
      <c r="T10" s="1049"/>
      <c r="U10" s="1050"/>
      <c r="V10" s="1046" t="s">
        <v>150</v>
      </c>
      <c r="W10" s="1046" t="s">
        <v>145</v>
      </c>
      <c r="X10" s="1046" t="s">
        <v>146</v>
      </c>
      <c r="Y10" s="1046" t="s">
        <v>147</v>
      </c>
      <c r="Z10" s="1046" t="s">
        <v>148</v>
      </c>
      <c r="AA10" s="1062"/>
      <c r="AB10" s="1062"/>
      <c r="AC10" s="1048" t="s">
        <v>143</v>
      </c>
      <c r="AD10" s="1049"/>
      <c r="AE10" s="1049"/>
      <c r="AF10" s="1050"/>
      <c r="AG10" s="1046" t="s">
        <v>144</v>
      </c>
      <c r="AH10" s="1046" t="s">
        <v>145</v>
      </c>
      <c r="AI10" s="1046" t="s">
        <v>146</v>
      </c>
      <c r="AJ10" s="1046" t="s">
        <v>147</v>
      </c>
      <c r="AK10" s="1046" t="s">
        <v>148</v>
      </c>
    </row>
    <row r="11" spans="1:37" ht="38.25">
      <c r="A11" s="1052"/>
      <c r="B11" s="1059"/>
      <c r="C11" s="1047"/>
      <c r="D11" s="1047"/>
      <c r="E11" s="818" t="s">
        <v>106</v>
      </c>
      <c r="F11" s="816" t="s">
        <v>151</v>
      </c>
      <c r="G11" s="816" t="s">
        <v>129</v>
      </c>
      <c r="H11" s="816" t="s">
        <v>130</v>
      </c>
      <c r="I11" s="1060"/>
      <c r="J11" s="1060"/>
      <c r="K11" s="1060"/>
      <c r="L11" s="1060"/>
      <c r="M11" s="1060"/>
      <c r="N11" s="1047"/>
      <c r="O11" s="1062"/>
      <c r="P11" s="1063"/>
      <c r="Q11" s="1047"/>
      <c r="R11" s="818" t="s">
        <v>106</v>
      </c>
      <c r="S11" s="816" t="s">
        <v>151</v>
      </c>
      <c r="T11" s="816" t="s">
        <v>129</v>
      </c>
      <c r="U11" s="816" t="s">
        <v>130</v>
      </c>
      <c r="V11" s="1060"/>
      <c r="W11" s="1060"/>
      <c r="X11" s="1060"/>
      <c r="Y11" s="1060"/>
      <c r="Z11" s="1060"/>
      <c r="AA11" s="1062"/>
      <c r="AB11" s="1062"/>
      <c r="AC11" s="818" t="s">
        <v>106</v>
      </c>
      <c r="AD11" s="816" t="s">
        <v>151</v>
      </c>
      <c r="AE11" s="816" t="s">
        <v>129</v>
      </c>
      <c r="AF11" s="816" t="s">
        <v>130</v>
      </c>
      <c r="AG11" s="1060"/>
      <c r="AH11" s="1060"/>
      <c r="AI11" s="1060"/>
      <c r="AJ11" s="1060"/>
      <c r="AK11" s="1060"/>
    </row>
    <row r="12" spans="1:37">
      <c r="A12" s="564" t="s">
        <v>16</v>
      </c>
      <c r="B12" s="564" t="s">
        <v>17</v>
      </c>
      <c r="C12" s="565">
        <v>1</v>
      </c>
      <c r="D12" s="565" t="s">
        <v>152</v>
      </c>
      <c r="E12" s="565" t="s">
        <v>131</v>
      </c>
      <c r="F12" s="565">
        <v>4</v>
      </c>
      <c r="G12" s="565">
        <v>5</v>
      </c>
      <c r="H12" s="565">
        <v>6</v>
      </c>
      <c r="I12" s="565">
        <v>7</v>
      </c>
      <c r="J12" s="565">
        <v>8</v>
      </c>
      <c r="K12" s="565">
        <v>9</v>
      </c>
      <c r="L12" s="565">
        <v>10</v>
      </c>
      <c r="M12" s="565">
        <v>11</v>
      </c>
      <c r="N12" s="565">
        <v>12</v>
      </c>
      <c r="O12" s="566">
        <v>13</v>
      </c>
      <c r="P12" s="566">
        <v>14</v>
      </c>
      <c r="Q12" s="565" t="s">
        <v>153</v>
      </c>
      <c r="R12" s="565" t="s">
        <v>154</v>
      </c>
      <c r="S12" s="565">
        <v>17</v>
      </c>
      <c r="T12" s="565">
        <v>18</v>
      </c>
      <c r="U12" s="565">
        <v>19</v>
      </c>
      <c r="V12" s="565">
        <v>20</v>
      </c>
      <c r="W12" s="565">
        <v>21</v>
      </c>
      <c r="X12" s="565">
        <v>22</v>
      </c>
      <c r="Y12" s="565">
        <v>23</v>
      </c>
      <c r="Z12" s="565">
        <v>24</v>
      </c>
      <c r="AA12" s="566">
        <v>25</v>
      </c>
      <c r="AB12" s="566" t="s">
        <v>155</v>
      </c>
      <c r="AC12" s="565" t="s">
        <v>156</v>
      </c>
      <c r="AD12" s="565">
        <v>28</v>
      </c>
      <c r="AE12" s="565">
        <v>29</v>
      </c>
      <c r="AF12" s="565">
        <v>30</v>
      </c>
      <c r="AG12" s="565">
        <v>31</v>
      </c>
      <c r="AH12" s="565">
        <v>32</v>
      </c>
      <c r="AI12" s="565">
        <v>33</v>
      </c>
      <c r="AJ12" s="565">
        <v>34</v>
      </c>
      <c r="AK12" s="565">
        <v>35</v>
      </c>
    </row>
    <row r="13" spans="1:37" ht="15.75">
      <c r="A13" s="567"/>
      <c r="B13" s="568" t="s">
        <v>106</v>
      </c>
      <c r="C13" s="569">
        <f t="shared" ref="C13:J13" si="0">SUM(C14:C17)</f>
        <v>155</v>
      </c>
      <c r="D13" s="1093">
        <f t="shared" si="0"/>
        <v>21233</v>
      </c>
      <c r="E13" s="1094">
        <f>SUM(E14:E17)</f>
        <v>21233</v>
      </c>
      <c r="F13" s="1094">
        <f>SUM(F14:F17)</f>
        <v>12597</v>
      </c>
      <c r="G13" s="1094">
        <f>SUM(G14:G17)</f>
        <v>5612</v>
      </c>
      <c r="H13" s="1094">
        <f>SUM(H14:H17)</f>
        <v>3024</v>
      </c>
      <c r="I13" s="569"/>
      <c r="J13" s="569">
        <f t="shared" si="0"/>
        <v>21075</v>
      </c>
      <c r="K13" s="569">
        <f t="shared" ref="K13:AK13" si="1">K14+K16</f>
        <v>158</v>
      </c>
      <c r="L13" s="569">
        <f t="shared" si="1"/>
        <v>0</v>
      </c>
      <c r="M13" s="569">
        <f t="shared" si="1"/>
        <v>0</v>
      </c>
      <c r="N13" s="569">
        <f t="shared" si="1"/>
        <v>56</v>
      </c>
      <c r="O13" s="570">
        <f t="shared" si="1"/>
        <v>50</v>
      </c>
      <c r="P13" s="570">
        <f t="shared" si="1"/>
        <v>50</v>
      </c>
      <c r="Q13" s="569">
        <f t="shared" si="1"/>
        <v>0</v>
      </c>
      <c r="R13" s="569">
        <f>SUM(R14:R17)</f>
        <v>21899</v>
      </c>
      <c r="S13" s="569">
        <f>SUM(S14:S17)</f>
        <v>13263</v>
      </c>
      <c r="T13" s="569">
        <f>SUM(T14:T17)</f>
        <v>5612</v>
      </c>
      <c r="U13" s="569">
        <f>SUM(U14:U17)</f>
        <v>3024</v>
      </c>
      <c r="V13" s="569">
        <f>SUM(V14:V17)</f>
        <v>21899</v>
      </c>
      <c r="W13" s="569">
        <f t="shared" si="1"/>
        <v>6687</v>
      </c>
      <c r="X13" s="569">
        <f t="shared" si="1"/>
        <v>158</v>
      </c>
      <c r="Y13" s="569">
        <f t="shared" si="1"/>
        <v>0</v>
      </c>
      <c r="Z13" s="569">
        <f t="shared" si="1"/>
        <v>0</v>
      </c>
      <c r="AA13" s="570">
        <f t="shared" si="1"/>
        <v>56</v>
      </c>
      <c r="AB13" s="570">
        <f t="shared" si="1"/>
        <v>0</v>
      </c>
      <c r="AC13" s="569">
        <f>SUM(AC14:AC17)</f>
        <v>27176</v>
      </c>
      <c r="AD13" s="569">
        <f>SUM(AD14:AD17)</f>
        <v>16755</v>
      </c>
      <c r="AE13" s="569">
        <f>SUM(AE14:AE17)</f>
        <v>6714</v>
      </c>
      <c r="AF13" s="569">
        <f>SUM(AF14:AF17)</f>
        <v>3707</v>
      </c>
      <c r="AG13" s="569">
        <f t="shared" si="1"/>
        <v>0</v>
      </c>
      <c r="AH13" s="569">
        <f t="shared" si="1"/>
        <v>6821</v>
      </c>
      <c r="AI13" s="569">
        <f t="shared" si="1"/>
        <v>160</v>
      </c>
      <c r="AJ13" s="569">
        <f t="shared" si="1"/>
        <v>0</v>
      </c>
      <c r="AK13" s="569">
        <f t="shared" si="1"/>
        <v>0</v>
      </c>
    </row>
    <row r="14" spans="1:37">
      <c r="A14" s="567">
        <v>1</v>
      </c>
      <c r="B14" s="1092" t="s">
        <v>463</v>
      </c>
      <c r="C14" s="569">
        <v>40</v>
      </c>
      <c r="D14" s="1095">
        <f>E14</f>
        <v>5009</v>
      </c>
      <c r="E14" s="1096">
        <f>F14+G14+H14</f>
        <v>5009</v>
      </c>
      <c r="F14" s="538">
        <f>2882</f>
        <v>2882</v>
      </c>
      <c r="G14" s="538">
        <v>1421</v>
      </c>
      <c r="H14" s="538">
        <v>706</v>
      </c>
      <c r="I14" s="572"/>
      <c r="J14" s="572">
        <f>E14-K14</f>
        <v>4851</v>
      </c>
      <c r="K14" s="572">
        <v>158</v>
      </c>
      <c r="L14" s="572"/>
      <c r="M14" s="572"/>
      <c r="N14" s="569">
        <v>40</v>
      </c>
      <c r="O14" s="570">
        <v>35</v>
      </c>
      <c r="P14" s="570">
        <v>35</v>
      </c>
      <c r="Q14" s="572"/>
      <c r="R14" s="572">
        <f>S14+T14+U14</f>
        <v>5179</v>
      </c>
      <c r="S14" s="538">
        <f>2882+170</f>
        <v>3052</v>
      </c>
      <c r="T14" s="538">
        <v>1421</v>
      </c>
      <c r="U14" s="538">
        <v>706</v>
      </c>
      <c r="V14" s="572">
        <f>W14+X14</f>
        <v>5179</v>
      </c>
      <c r="W14" s="572">
        <v>5021</v>
      </c>
      <c r="X14" s="572">
        <f>158</f>
        <v>158</v>
      </c>
      <c r="Y14" s="572"/>
      <c r="Z14" s="572"/>
      <c r="AA14" s="570">
        <v>40</v>
      </c>
      <c r="AB14" s="573"/>
      <c r="AC14" s="572">
        <f>AD14+AE14+AF14</f>
        <v>6981</v>
      </c>
      <c r="AD14" s="572">
        <f>3431+329+79+343</f>
        <v>4182</v>
      </c>
      <c r="AE14" s="572">
        <f>1678+148+38</f>
        <v>1864</v>
      </c>
      <c r="AF14" s="572">
        <f>839+77+19</f>
        <v>935</v>
      </c>
      <c r="AG14" s="572"/>
      <c r="AH14" s="572">
        <f>AC14-160</f>
        <v>6821</v>
      </c>
      <c r="AI14" s="572">
        <v>160</v>
      </c>
      <c r="AJ14" s="572"/>
      <c r="AK14" s="572"/>
    </row>
    <row r="15" spans="1:37" ht="15.75">
      <c r="A15" s="567">
        <v>2</v>
      </c>
      <c r="B15" s="540" t="s">
        <v>464</v>
      </c>
      <c r="C15" s="569">
        <v>7</v>
      </c>
      <c r="D15" s="1095">
        <f t="shared" ref="D15:D17" si="2">E15</f>
        <v>1262</v>
      </c>
      <c r="E15" s="1096">
        <f t="shared" ref="E15:E17" si="3">F15+G15+H15</f>
        <v>1262</v>
      </c>
      <c r="F15" s="541">
        <f>837</f>
        <v>837</v>
      </c>
      <c r="G15" s="541">
        <v>262</v>
      </c>
      <c r="H15" s="541">
        <v>163</v>
      </c>
      <c r="I15" s="572"/>
      <c r="J15" s="569">
        <f>D15</f>
        <v>1262</v>
      </c>
      <c r="K15" s="569"/>
      <c r="L15" s="569"/>
      <c r="M15" s="569"/>
      <c r="N15" s="569">
        <v>7</v>
      </c>
      <c r="O15" s="570">
        <v>7</v>
      </c>
      <c r="P15" s="570">
        <v>7</v>
      </c>
      <c r="Q15" s="569"/>
      <c r="R15" s="572">
        <f t="shared" ref="R15:R17" si="4">S15+T15+U15</f>
        <v>1262</v>
      </c>
      <c r="S15" s="541">
        <v>837</v>
      </c>
      <c r="T15" s="541">
        <v>262</v>
      </c>
      <c r="U15" s="541">
        <v>163</v>
      </c>
      <c r="V15" s="572">
        <f t="shared" ref="V15:V17" si="5">R15</f>
        <v>1262</v>
      </c>
      <c r="W15" s="569">
        <f>V15</f>
        <v>1262</v>
      </c>
      <c r="X15" s="569"/>
      <c r="Y15" s="569"/>
      <c r="Z15" s="569"/>
      <c r="AA15" s="570">
        <v>7</v>
      </c>
      <c r="AB15" s="570"/>
      <c r="AC15" s="572">
        <f t="shared" ref="AC15:AC16" si="6">AD15+AE15+AF15</f>
        <v>1313</v>
      </c>
      <c r="AD15" s="569">
        <f>743+74+15</f>
        <v>832</v>
      </c>
      <c r="AE15" s="569">
        <f>290+5</f>
        <v>295</v>
      </c>
      <c r="AF15" s="569">
        <f>183+3</f>
        <v>186</v>
      </c>
      <c r="AG15" s="569"/>
      <c r="AH15" s="569"/>
      <c r="AI15" s="569"/>
      <c r="AJ15" s="569"/>
      <c r="AK15" s="569"/>
    </row>
    <row r="16" spans="1:37" ht="15.75">
      <c r="A16" s="567">
        <v>3</v>
      </c>
      <c r="B16" s="543" t="s">
        <v>465</v>
      </c>
      <c r="C16" s="569">
        <v>16</v>
      </c>
      <c r="D16" s="1095">
        <f t="shared" si="2"/>
        <v>1606</v>
      </c>
      <c r="E16" s="1096">
        <f t="shared" si="3"/>
        <v>1606</v>
      </c>
      <c r="F16" s="544">
        <f>1043</f>
        <v>1043</v>
      </c>
      <c r="G16" s="544">
        <v>312</v>
      </c>
      <c r="H16" s="544">
        <v>251</v>
      </c>
      <c r="I16" s="572"/>
      <c r="J16" s="569">
        <f t="shared" ref="J16:J18" si="7">D16</f>
        <v>1606</v>
      </c>
      <c r="K16" s="572"/>
      <c r="L16" s="572"/>
      <c r="M16" s="572"/>
      <c r="N16" s="569">
        <v>16</v>
      </c>
      <c r="O16" s="570">
        <v>15</v>
      </c>
      <c r="P16" s="570">
        <v>15</v>
      </c>
      <c r="Q16" s="572"/>
      <c r="R16" s="572">
        <f t="shared" si="4"/>
        <v>1666</v>
      </c>
      <c r="S16" s="544">
        <f>1043+60</f>
        <v>1103</v>
      </c>
      <c r="T16" s="544">
        <v>312</v>
      </c>
      <c r="U16" s="544">
        <v>251</v>
      </c>
      <c r="V16" s="572">
        <f t="shared" si="5"/>
        <v>1666</v>
      </c>
      <c r="W16" s="572">
        <f>V16</f>
        <v>1666</v>
      </c>
      <c r="X16" s="572"/>
      <c r="Y16" s="572"/>
      <c r="Z16" s="572"/>
      <c r="AA16" s="570">
        <v>16</v>
      </c>
      <c r="AB16" s="573"/>
      <c r="AC16" s="572">
        <f t="shared" si="6"/>
        <v>2241</v>
      </c>
      <c r="AD16" s="572">
        <f>1291+66+15+129</f>
        <v>1501</v>
      </c>
      <c r="AE16" s="572">
        <f>388+26+4</f>
        <v>418</v>
      </c>
      <c r="AF16" s="572">
        <f>303+15+4</f>
        <v>322</v>
      </c>
      <c r="AG16" s="572"/>
      <c r="AH16" s="572"/>
      <c r="AI16" s="572"/>
      <c r="AJ16" s="572"/>
      <c r="AK16" s="572"/>
    </row>
    <row r="17" spans="1:37" ht="15.75">
      <c r="A17" s="576">
        <v>4</v>
      </c>
      <c r="B17" s="547" t="s">
        <v>466</v>
      </c>
      <c r="C17" s="578">
        <v>92</v>
      </c>
      <c r="D17" s="1095">
        <f t="shared" si="2"/>
        <v>13356</v>
      </c>
      <c r="E17" s="1096">
        <f t="shared" si="3"/>
        <v>13356</v>
      </c>
      <c r="F17" s="548">
        <f>7835</f>
        <v>7835</v>
      </c>
      <c r="G17" s="548">
        <v>3617</v>
      </c>
      <c r="H17" s="548">
        <v>1904</v>
      </c>
      <c r="I17" s="572"/>
      <c r="J17" s="569">
        <f t="shared" si="7"/>
        <v>13356</v>
      </c>
      <c r="K17" s="579"/>
      <c r="L17" s="579"/>
      <c r="M17" s="579"/>
      <c r="N17" s="578">
        <v>92</v>
      </c>
      <c r="O17" s="580">
        <v>85</v>
      </c>
      <c r="P17" s="580">
        <v>85</v>
      </c>
      <c r="Q17" s="579"/>
      <c r="R17" s="572">
        <f t="shared" si="4"/>
        <v>13792</v>
      </c>
      <c r="S17" s="548">
        <f>7835+436</f>
        <v>8271</v>
      </c>
      <c r="T17" s="548">
        <v>3617</v>
      </c>
      <c r="U17" s="548">
        <v>1904</v>
      </c>
      <c r="V17" s="572">
        <f t="shared" si="5"/>
        <v>13792</v>
      </c>
      <c r="W17" s="579">
        <f>V17</f>
        <v>13792</v>
      </c>
      <c r="X17" s="579"/>
      <c r="Y17" s="579"/>
      <c r="Z17" s="579"/>
      <c r="AA17" s="580">
        <v>92</v>
      </c>
      <c r="AB17" s="581"/>
      <c r="AC17" s="572">
        <f>AD17+AE17+AF17</f>
        <v>16641</v>
      </c>
      <c r="AD17" s="579">
        <f>8751+460+154+875</f>
        <v>10240</v>
      </c>
      <c r="AE17" s="579">
        <f>3872+184+81</f>
        <v>4137</v>
      </c>
      <c r="AF17" s="579">
        <f>2116+108+40</f>
        <v>2264</v>
      </c>
      <c r="AG17" s="579"/>
      <c r="AH17" s="579"/>
      <c r="AI17" s="579"/>
      <c r="AJ17" s="579"/>
      <c r="AK17" s="579"/>
    </row>
    <row r="18" spans="1:37" ht="15.75">
      <c r="A18" s="582"/>
      <c r="B18" s="583"/>
      <c r="C18" s="584"/>
      <c r="D18" s="1097"/>
      <c r="E18" s="1098"/>
      <c r="F18" s="1098"/>
      <c r="G18" s="1098"/>
      <c r="H18" s="1098"/>
      <c r="I18" s="585"/>
      <c r="J18" s="569">
        <f t="shared" si="7"/>
        <v>0</v>
      </c>
      <c r="K18" s="585"/>
      <c r="L18" s="585"/>
      <c r="M18" s="585"/>
      <c r="N18" s="584"/>
      <c r="O18" s="580"/>
      <c r="P18" s="580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0"/>
      <c r="AB18" s="581"/>
      <c r="AC18" s="585">
        <f>AD17+AE17+AF17</f>
        <v>16641</v>
      </c>
      <c r="AD18" s="585"/>
      <c r="AE18" s="585"/>
      <c r="AF18" s="585"/>
      <c r="AG18" s="585"/>
      <c r="AH18" s="585"/>
      <c r="AI18" s="585"/>
      <c r="AJ18" s="585"/>
      <c r="AK18" s="585"/>
    </row>
    <row r="19" spans="1:37" ht="15.75">
      <c r="A19" s="587"/>
      <c r="B19" s="574"/>
      <c r="C19" s="584"/>
      <c r="D19" s="1099"/>
      <c r="E19" s="585"/>
      <c r="F19" s="585"/>
      <c r="G19" s="585"/>
      <c r="H19" s="585"/>
      <c r="I19" s="585"/>
      <c r="J19" s="585"/>
      <c r="K19" s="585"/>
      <c r="L19" s="585"/>
      <c r="M19" s="585"/>
      <c r="N19" s="584"/>
      <c r="O19" s="580"/>
      <c r="P19" s="580"/>
      <c r="Q19" s="585"/>
      <c r="R19" s="585"/>
      <c r="S19" s="585"/>
      <c r="T19" s="585"/>
      <c r="U19" s="585"/>
      <c r="V19" s="585"/>
      <c r="W19" s="585"/>
      <c r="X19" s="585"/>
      <c r="Y19" s="585"/>
      <c r="Z19" s="585"/>
      <c r="AA19" s="580"/>
      <c r="AB19" s="581"/>
      <c r="AC19" s="585"/>
      <c r="AD19" s="585"/>
      <c r="AE19" s="585"/>
      <c r="AF19" s="585"/>
      <c r="AG19" s="585"/>
      <c r="AH19" s="585"/>
      <c r="AI19" s="585"/>
      <c r="AJ19" s="585"/>
      <c r="AK19" s="585"/>
    </row>
    <row r="20" spans="1:37" ht="18.7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588"/>
      <c r="P20" s="588"/>
      <c r="Q20" s="27"/>
      <c r="R20" s="27"/>
      <c r="S20" s="27"/>
      <c r="T20" s="27"/>
      <c r="U20" s="27"/>
      <c r="V20" s="27"/>
      <c r="W20" s="27"/>
      <c r="X20" s="1100" t="s">
        <v>467</v>
      </c>
      <c r="Y20" s="1100"/>
      <c r="Z20" s="1100"/>
      <c r="AA20" s="1100"/>
      <c r="AB20" s="1100"/>
      <c r="AC20" s="1100"/>
      <c r="AD20" s="1100"/>
      <c r="AE20" s="1100"/>
      <c r="AF20" s="1100"/>
      <c r="AG20" s="1100"/>
      <c r="AH20" s="1100"/>
      <c r="AI20" s="1100"/>
      <c r="AJ20" s="1100"/>
      <c r="AK20" s="1100"/>
    </row>
  </sheetData>
  <mergeCells count="48">
    <mergeCell ref="AH10:AH11"/>
    <mergeCell ref="AI10:AI11"/>
    <mergeCell ref="AJ10:AJ11"/>
    <mergeCell ref="AK10:AK11"/>
    <mergeCell ref="X20:AK20"/>
    <mergeCell ref="A1:C1"/>
    <mergeCell ref="A2:C2"/>
    <mergeCell ref="L10:L11"/>
    <mergeCell ref="M10:M11"/>
    <mergeCell ref="R10:U10"/>
    <mergeCell ref="V10:V11"/>
    <mergeCell ref="W10:W11"/>
    <mergeCell ref="X10:X11"/>
    <mergeCell ref="R9:V9"/>
    <mergeCell ref="W9:Z9"/>
    <mergeCell ref="AA9:AA11"/>
    <mergeCell ref="AB9:AB11"/>
    <mergeCell ref="AC9:AG9"/>
    <mergeCell ref="AH9:AK9"/>
    <mergeCell ref="Y10:Y11"/>
    <mergeCell ref="Z10:Z11"/>
    <mergeCell ref="AC10:AF10"/>
    <mergeCell ref="AG10:AG11"/>
    <mergeCell ref="R8:Z8"/>
    <mergeCell ref="AA8:AK8"/>
    <mergeCell ref="C9:C11"/>
    <mergeCell ref="D9:D11"/>
    <mergeCell ref="E9:I9"/>
    <mergeCell ref="J9:M9"/>
    <mergeCell ref="N9:N11"/>
    <mergeCell ref="O9:O11"/>
    <mergeCell ref="P9:P11"/>
    <mergeCell ref="Q9:Q11"/>
    <mergeCell ref="B7:C7"/>
    <mergeCell ref="K7:M7"/>
    <mergeCell ref="A8:A11"/>
    <mergeCell ref="B8:B11"/>
    <mergeCell ref="C8:M8"/>
    <mergeCell ref="N8:Q8"/>
    <mergeCell ref="E10:H10"/>
    <mergeCell ref="I10:I11"/>
    <mergeCell ref="J10:J11"/>
    <mergeCell ref="K10:K11"/>
    <mergeCell ref="K1:L1"/>
    <mergeCell ref="AJ1:AK1"/>
    <mergeCell ref="A3:B3"/>
    <mergeCell ref="A4:M4"/>
    <mergeCell ref="A5:M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6"/>
  <sheetViews>
    <sheetView workbookViewId="0">
      <selection activeCell="V7" sqref="V7:V9"/>
    </sheetView>
  </sheetViews>
  <sheetFormatPr defaultColWidth="9" defaultRowHeight="15"/>
  <cols>
    <col min="1" max="1" width="4.44140625" style="24" customWidth="1"/>
    <col min="2" max="2" width="20.33203125" style="24" customWidth="1"/>
    <col min="3" max="3" width="5.6640625" style="160" customWidth="1"/>
    <col min="4" max="4" width="5" style="160" customWidth="1"/>
    <col min="5" max="5" width="9.109375" style="159" customWidth="1"/>
    <col min="6" max="6" width="7" style="159" customWidth="1"/>
    <col min="7" max="9" width="7.44140625" style="159" customWidth="1"/>
    <col min="10" max="10" width="4.21875" style="159" customWidth="1"/>
    <col min="11" max="11" width="6.88671875" style="159" customWidth="1"/>
    <col min="12" max="12" width="6.77734375" style="159" customWidth="1"/>
    <col min="13" max="13" width="5.88671875" style="159" customWidth="1"/>
    <col min="14" max="14" width="6.109375" style="159" customWidth="1"/>
    <col min="15" max="15" width="0" style="24" hidden="1" customWidth="1"/>
    <col min="16" max="16" width="9.5546875" style="24" customWidth="1"/>
    <col min="17" max="17" width="6.5546875" style="24" customWidth="1"/>
    <col min="18" max="18" width="9.5546875" style="24" customWidth="1"/>
    <col min="19" max="19" width="10.33203125" style="84" customWidth="1"/>
    <col min="20" max="20" width="11.33203125" style="84" customWidth="1"/>
    <col min="21" max="21" width="12" style="24" customWidth="1"/>
    <col min="22" max="22" width="10.5546875" style="24" customWidth="1"/>
    <col min="23" max="16384" width="9" style="24"/>
  </cols>
  <sheetData>
    <row r="1" spans="1:22" ht="15.75">
      <c r="A1" s="837" t="s">
        <v>49</v>
      </c>
      <c r="B1" s="837"/>
      <c r="C1" s="837"/>
      <c r="D1" s="104"/>
      <c r="E1" s="73"/>
      <c r="F1" s="73"/>
      <c r="G1" s="73"/>
      <c r="H1" s="73"/>
      <c r="I1" s="73"/>
      <c r="J1" s="73"/>
      <c r="K1" s="443" t="s">
        <v>33</v>
      </c>
      <c r="L1" s="99"/>
      <c r="M1" s="83"/>
      <c r="N1" s="83"/>
      <c r="O1" s="2"/>
      <c r="P1" s="3"/>
      <c r="Q1" s="3"/>
      <c r="R1" s="84"/>
    </row>
    <row r="2" spans="1:22">
      <c r="A2" s="857" t="s">
        <v>444</v>
      </c>
      <c r="B2" s="857"/>
      <c r="C2" s="857"/>
      <c r="D2" s="105"/>
      <c r="E2" s="73"/>
      <c r="F2" s="73"/>
      <c r="G2" s="73"/>
      <c r="H2" s="73"/>
      <c r="I2" s="73"/>
      <c r="J2" s="73"/>
      <c r="K2" s="73"/>
      <c r="L2" s="93"/>
      <c r="M2" s="93"/>
      <c r="N2" s="93"/>
      <c r="O2" s="2"/>
      <c r="P2" s="3"/>
      <c r="Q2" s="3"/>
      <c r="R2" s="84"/>
      <c r="S2" s="3"/>
    </row>
    <row r="3" spans="1:22" ht="15.75">
      <c r="A3" s="228"/>
      <c r="B3" s="228"/>
      <c r="C3" s="228"/>
      <c r="D3" s="105"/>
      <c r="E3" s="73"/>
      <c r="F3" s="73"/>
      <c r="G3" s="73"/>
      <c r="H3" s="73"/>
      <c r="I3" s="73"/>
      <c r="J3" s="73"/>
      <c r="K3" s="73"/>
      <c r="L3" s="93"/>
      <c r="M3" s="93"/>
      <c r="N3" s="93"/>
      <c r="O3" s="2"/>
      <c r="P3" s="3"/>
      <c r="Q3" s="3"/>
      <c r="R3" s="84"/>
    </row>
    <row r="4" spans="1:22" ht="18.75">
      <c r="A4" s="84"/>
      <c r="B4" s="839" t="s">
        <v>189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839"/>
      <c r="O4" s="839"/>
      <c r="P4" s="839"/>
      <c r="Q4" s="839"/>
      <c r="R4" s="839"/>
      <c r="S4" s="839"/>
      <c r="T4" s="839"/>
      <c r="U4" s="839"/>
      <c r="V4" s="839"/>
    </row>
    <row r="5" spans="1:22" ht="17.25">
      <c r="A5" s="84"/>
      <c r="B5" s="840" t="s">
        <v>157</v>
      </c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840"/>
      <c r="O5" s="840"/>
      <c r="P5" s="840"/>
      <c r="Q5" s="840"/>
      <c r="R5" s="840"/>
      <c r="S5" s="840"/>
      <c r="T5" s="840"/>
      <c r="U5" s="840"/>
      <c r="V5" s="840"/>
    </row>
    <row r="6" spans="1:22" ht="15.75">
      <c r="A6" s="4"/>
      <c r="B6" s="78"/>
      <c r="C6" s="106"/>
      <c r="D6" s="72"/>
      <c r="E6" s="73"/>
      <c r="F6" s="73"/>
      <c r="G6" s="73"/>
      <c r="H6" s="73"/>
      <c r="I6" s="73"/>
      <c r="J6" s="73"/>
      <c r="K6" s="73"/>
      <c r="L6" s="73"/>
      <c r="M6" s="103"/>
      <c r="N6" s="103"/>
      <c r="O6" s="2"/>
      <c r="P6" s="842" t="s">
        <v>40</v>
      </c>
      <c r="Q6" s="842"/>
    </row>
    <row r="7" spans="1:22" ht="15.75" customHeight="1">
      <c r="A7" s="850" t="s">
        <v>12</v>
      </c>
      <c r="B7" s="850" t="s">
        <v>50</v>
      </c>
      <c r="C7" s="856" t="s">
        <v>158</v>
      </c>
      <c r="D7" s="856" t="s">
        <v>190</v>
      </c>
      <c r="E7" s="843" t="s">
        <v>203</v>
      </c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31" t="s">
        <v>205</v>
      </c>
      <c r="T7" s="832"/>
      <c r="U7" s="835" t="s">
        <v>159</v>
      </c>
      <c r="V7" s="835" t="s">
        <v>254</v>
      </c>
    </row>
    <row r="8" spans="1:22" ht="15.75">
      <c r="A8" s="850"/>
      <c r="B8" s="850"/>
      <c r="C8" s="856"/>
      <c r="D8" s="856"/>
      <c r="E8" s="851" t="s">
        <v>211</v>
      </c>
      <c r="F8" s="851" t="s">
        <v>212</v>
      </c>
      <c r="G8" s="851" t="s">
        <v>28</v>
      </c>
      <c r="H8" s="853" t="s">
        <v>31</v>
      </c>
      <c r="I8" s="854"/>
      <c r="J8" s="854"/>
      <c r="K8" s="854"/>
      <c r="L8" s="854"/>
      <c r="M8" s="854"/>
      <c r="N8" s="855"/>
      <c r="O8" s="849" t="s">
        <v>14</v>
      </c>
      <c r="P8" s="843" t="s">
        <v>201</v>
      </c>
      <c r="Q8" s="844"/>
      <c r="R8" s="858"/>
      <c r="S8" s="833"/>
      <c r="T8" s="834"/>
      <c r="U8" s="836"/>
      <c r="V8" s="836"/>
    </row>
    <row r="9" spans="1:22" ht="69.75" customHeight="1">
      <c r="A9" s="850"/>
      <c r="B9" s="850"/>
      <c r="C9" s="856"/>
      <c r="D9" s="856"/>
      <c r="E9" s="852"/>
      <c r="F9" s="852"/>
      <c r="G9" s="852"/>
      <c r="H9" s="441" t="s">
        <v>194</v>
      </c>
      <c r="I9" s="441" t="s">
        <v>195</v>
      </c>
      <c r="J9" s="441" t="s">
        <v>213</v>
      </c>
      <c r="K9" s="821" t="s">
        <v>214</v>
      </c>
      <c r="L9" s="193" t="s">
        <v>197</v>
      </c>
      <c r="M9" s="193" t="s">
        <v>199</v>
      </c>
      <c r="N9" s="193" t="s">
        <v>200</v>
      </c>
      <c r="O9" s="850"/>
      <c r="P9" s="193" t="s">
        <v>34</v>
      </c>
      <c r="Q9" s="442" t="s">
        <v>30</v>
      </c>
      <c r="R9" s="442" t="s">
        <v>35</v>
      </c>
      <c r="S9" s="591" t="s">
        <v>206</v>
      </c>
      <c r="T9" s="591" t="s">
        <v>210</v>
      </c>
      <c r="U9" s="836"/>
      <c r="V9" s="836"/>
    </row>
    <row r="10" spans="1:22" s="157" customFormat="1" ht="24.75" customHeight="1">
      <c r="A10" s="29" t="s">
        <v>16</v>
      </c>
      <c r="B10" s="29" t="s">
        <v>17</v>
      </c>
      <c r="C10" s="178">
        <v>1</v>
      </c>
      <c r="D10" s="178">
        <v>2</v>
      </c>
      <c r="E10" s="188" t="s">
        <v>161</v>
      </c>
      <c r="F10" s="188">
        <v>4</v>
      </c>
      <c r="G10" s="188" t="s">
        <v>100</v>
      </c>
      <c r="H10" s="188">
        <v>6</v>
      </c>
      <c r="I10" s="188">
        <v>7</v>
      </c>
      <c r="J10" s="188">
        <v>8</v>
      </c>
      <c r="K10" s="188">
        <v>9</v>
      </c>
      <c r="L10" s="188">
        <v>10</v>
      </c>
      <c r="M10" s="188">
        <v>11</v>
      </c>
      <c r="N10" s="188">
        <v>12</v>
      </c>
      <c r="O10" s="96" t="s">
        <v>32</v>
      </c>
      <c r="P10" s="188" t="s">
        <v>104</v>
      </c>
      <c r="Q10" s="188" t="s">
        <v>105</v>
      </c>
      <c r="R10" s="188" t="s">
        <v>103</v>
      </c>
      <c r="S10" s="610" t="s">
        <v>218</v>
      </c>
      <c r="T10" s="610" t="s">
        <v>208</v>
      </c>
      <c r="U10" s="603" t="s">
        <v>219</v>
      </c>
      <c r="V10" s="616" t="s">
        <v>209</v>
      </c>
    </row>
    <row r="11" spans="1:22" s="157" customFormat="1" ht="24.75" customHeight="1">
      <c r="A11" s="29"/>
      <c r="B11" s="29"/>
      <c r="C11" s="1117">
        <v>40</v>
      </c>
      <c r="D11" s="1117">
        <v>35</v>
      </c>
      <c r="E11" s="1118"/>
      <c r="F11" s="1118"/>
      <c r="G11" s="1118"/>
      <c r="H11" s="1118"/>
      <c r="I11" s="1118"/>
      <c r="J11" s="1118"/>
      <c r="K11" s="1118"/>
      <c r="L11" s="1119"/>
      <c r="M11" s="1118"/>
      <c r="N11" s="1118"/>
      <c r="O11" s="1120"/>
      <c r="P11" s="1118"/>
      <c r="Q11" s="1118"/>
      <c r="R11" s="1118"/>
      <c r="S11" s="820"/>
      <c r="T11" s="820"/>
      <c r="U11" s="1121"/>
      <c r="V11" s="1122"/>
    </row>
    <row r="12" spans="1:22" s="149" customFormat="1" ht="24.95" customHeight="1">
      <c r="A12" s="440">
        <v>1</v>
      </c>
      <c r="B12" s="637" t="s">
        <v>221</v>
      </c>
      <c r="C12" s="1157"/>
      <c r="D12" s="1157"/>
      <c r="E12" s="1070">
        <f>F12+G12+R12</f>
        <v>9.6233000000000004</v>
      </c>
      <c r="F12" s="827">
        <v>4.9800000000000004</v>
      </c>
      <c r="G12" s="1066">
        <f>H12+I12+K12+L12+M12+N12</f>
        <v>3.3320000000000003</v>
      </c>
      <c r="H12" s="1067">
        <v>0.6</v>
      </c>
      <c r="I12" s="1068"/>
      <c r="J12" s="188"/>
      <c r="K12" s="1069">
        <f>(F12+H12+I12)*40%</f>
        <v>2.2320000000000002</v>
      </c>
      <c r="L12" s="1069">
        <v>0.2</v>
      </c>
      <c r="M12" s="1069">
        <v>0.3</v>
      </c>
      <c r="N12" s="1069"/>
      <c r="O12" s="188"/>
      <c r="P12" s="1070">
        <f>(F12+H12+I12)*22.5%</f>
        <v>1.2555000000000001</v>
      </c>
      <c r="Q12" s="1070">
        <f>(F12+H12+I12)*1%</f>
        <v>5.5800000000000002E-2</v>
      </c>
      <c r="R12" s="1070">
        <f>P12+Q12</f>
        <v>1.3113000000000001</v>
      </c>
      <c r="S12" s="1158">
        <f>E12*2340</f>
        <v>22518.522000000001</v>
      </c>
      <c r="T12" s="1158">
        <f>S12*12</f>
        <v>270222.26400000002</v>
      </c>
      <c r="U12" s="1071">
        <f>(F12*2340*12)*10%</f>
        <v>13983.840000000004</v>
      </c>
      <c r="V12" s="1072">
        <f>T12+U12</f>
        <v>284206.10400000005</v>
      </c>
    </row>
    <row r="13" spans="1:22" s="158" customFormat="1" ht="24.95" customHeight="1">
      <c r="A13" s="217">
        <v>2</v>
      </c>
      <c r="B13" s="637" t="s">
        <v>222</v>
      </c>
      <c r="C13" s="1159"/>
      <c r="D13" s="1159"/>
      <c r="E13" s="1070">
        <f t="shared" ref="E13:E47" si="0">F13+G13+R13</f>
        <v>6.9283150000000004</v>
      </c>
      <c r="F13" s="827">
        <v>4.9800000000000004</v>
      </c>
      <c r="G13" s="1066">
        <f t="shared" ref="G13:G47" si="1">H13+I13+K13+L13+M13+N13</f>
        <v>0.64900000000000002</v>
      </c>
      <c r="H13" s="1073">
        <v>0.3</v>
      </c>
      <c r="I13" s="1074">
        <f>F13*5%</f>
        <v>0.24900000000000003</v>
      </c>
      <c r="J13" s="1075"/>
      <c r="K13" s="1069"/>
      <c r="L13" s="1069"/>
      <c r="M13" s="1076"/>
      <c r="N13" s="1076">
        <v>0.1</v>
      </c>
      <c r="O13" s="1075"/>
      <c r="P13" s="1070">
        <f t="shared" ref="P13:P47" si="2">(F13+H13+I13)*22.5%</f>
        <v>1.2440249999999999</v>
      </c>
      <c r="Q13" s="1070">
        <f t="shared" ref="Q13:Q47" si="3">(F13+H13+I13)*1%</f>
        <v>5.5289999999999999E-2</v>
      </c>
      <c r="R13" s="1070">
        <f t="shared" ref="R13:R47" si="4">P13+Q13</f>
        <v>1.299315</v>
      </c>
      <c r="S13" s="1158">
        <f t="shared" ref="S13:S47" si="5">E13*2340</f>
        <v>16212.257100000001</v>
      </c>
      <c r="T13" s="1158">
        <f t="shared" ref="T13:T47" si="6">S13*12</f>
        <v>194547.0852</v>
      </c>
      <c r="U13" s="1071">
        <f t="shared" ref="U13:U47" si="7">(F13*2340*12)*10%</f>
        <v>13983.840000000004</v>
      </c>
      <c r="V13" s="1072">
        <f t="shared" ref="V13:V47" si="8">T13+U13</f>
        <v>208530.9252</v>
      </c>
    </row>
    <row r="14" spans="1:22" s="145" customFormat="1" ht="24.95" customHeight="1">
      <c r="A14" s="810">
        <v>3</v>
      </c>
      <c r="B14" s="637" t="s">
        <v>223</v>
      </c>
      <c r="C14" s="1160"/>
      <c r="D14" s="1160"/>
      <c r="E14" s="1070">
        <f t="shared" si="0"/>
        <v>9.9717500000000001</v>
      </c>
      <c r="F14" s="827">
        <v>4.6500000000000004</v>
      </c>
      <c r="G14" s="1066">
        <f t="shared" si="1"/>
        <v>4.1349999999999998</v>
      </c>
      <c r="H14" s="1077">
        <v>0.4</v>
      </c>
      <c r="I14" s="1078"/>
      <c r="J14" s="1079"/>
      <c r="K14" s="1069">
        <f>(F14+H14+I14)*70%</f>
        <v>3.5350000000000001</v>
      </c>
      <c r="L14" s="1069">
        <v>0.2</v>
      </c>
      <c r="M14" s="1080"/>
      <c r="N14" s="1080"/>
      <c r="O14" s="1079"/>
      <c r="P14" s="1070">
        <f t="shared" si="2"/>
        <v>1.1362500000000002</v>
      </c>
      <c r="Q14" s="1070">
        <f t="shared" si="3"/>
        <v>5.050000000000001E-2</v>
      </c>
      <c r="R14" s="1070">
        <f t="shared" si="4"/>
        <v>1.1867500000000002</v>
      </c>
      <c r="S14" s="1158">
        <f t="shared" si="5"/>
        <v>23333.895</v>
      </c>
      <c r="T14" s="1158">
        <f t="shared" si="6"/>
        <v>280006.74</v>
      </c>
      <c r="U14" s="1071">
        <f t="shared" si="7"/>
        <v>13057.2</v>
      </c>
      <c r="V14" s="1072">
        <f t="shared" si="8"/>
        <v>293063.94</v>
      </c>
    </row>
    <row r="15" spans="1:22" s="145" customFormat="1" ht="24.95" customHeight="1">
      <c r="A15" s="217">
        <v>4</v>
      </c>
      <c r="B15" s="637" t="s">
        <v>224</v>
      </c>
      <c r="C15" s="1160"/>
      <c r="D15" s="1160"/>
      <c r="E15" s="1070">
        <f t="shared" si="0"/>
        <v>8.4567500000000013</v>
      </c>
      <c r="F15" s="827">
        <v>4.6500000000000004</v>
      </c>
      <c r="G15" s="1066">
        <f t="shared" si="1"/>
        <v>2.6200000000000006</v>
      </c>
      <c r="H15" s="1081">
        <v>0.4</v>
      </c>
      <c r="I15" s="1082"/>
      <c r="J15" s="1083"/>
      <c r="K15" s="1069">
        <f t="shared" ref="K15:K47" si="9">(F15+H15+I15)*40%</f>
        <v>2.0200000000000005</v>
      </c>
      <c r="L15" s="1069">
        <v>0.2</v>
      </c>
      <c r="M15" s="1084"/>
      <c r="N15" s="1084"/>
      <c r="O15" s="1083"/>
      <c r="P15" s="1070">
        <f t="shared" si="2"/>
        <v>1.1362500000000002</v>
      </c>
      <c r="Q15" s="1070">
        <f t="shared" si="3"/>
        <v>5.050000000000001E-2</v>
      </c>
      <c r="R15" s="1070">
        <f t="shared" si="4"/>
        <v>1.1867500000000002</v>
      </c>
      <c r="S15" s="1158">
        <f t="shared" si="5"/>
        <v>19788.795000000002</v>
      </c>
      <c r="T15" s="1158">
        <f t="shared" si="6"/>
        <v>237465.54000000004</v>
      </c>
      <c r="U15" s="1071">
        <f t="shared" si="7"/>
        <v>13057.2</v>
      </c>
      <c r="V15" s="1072">
        <f t="shared" si="8"/>
        <v>250522.74000000005</v>
      </c>
    </row>
    <row r="16" spans="1:22" s="145" customFormat="1" ht="24.95" customHeight="1">
      <c r="A16" s="810">
        <v>5</v>
      </c>
      <c r="B16" s="637" t="s">
        <v>225</v>
      </c>
      <c r="C16" s="1160"/>
      <c r="D16" s="1160"/>
      <c r="E16" s="1070">
        <f t="shared" si="0"/>
        <v>9.7782499999999999</v>
      </c>
      <c r="F16" s="827">
        <v>4.6500000000000004</v>
      </c>
      <c r="G16" s="1066">
        <f t="shared" si="1"/>
        <v>3.9649999999999999</v>
      </c>
      <c r="H16" s="1085">
        <v>0.3</v>
      </c>
      <c r="I16" s="1086"/>
      <c r="J16" s="1087"/>
      <c r="K16" s="1069">
        <f>(F16+H16+I16)*70%</f>
        <v>3.4649999999999999</v>
      </c>
      <c r="L16" s="1069">
        <v>0.2</v>
      </c>
      <c r="M16" s="1088"/>
      <c r="N16" s="1088"/>
      <c r="O16" s="1087"/>
      <c r="P16" s="1070">
        <f t="shared" si="2"/>
        <v>1.11375</v>
      </c>
      <c r="Q16" s="1070">
        <f t="shared" si="3"/>
        <v>4.9500000000000002E-2</v>
      </c>
      <c r="R16" s="1070">
        <f t="shared" si="4"/>
        <v>1.1632500000000001</v>
      </c>
      <c r="S16" s="1158">
        <f t="shared" si="5"/>
        <v>22881.105</v>
      </c>
      <c r="T16" s="1158">
        <f t="shared" si="6"/>
        <v>274573.26</v>
      </c>
      <c r="U16" s="1071">
        <f t="shared" si="7"/>
        <v>13057.2</v>
      </c>
      <c r="V16" s="1072">
        <f t="shared" si="8"/>
        <v>287630.46000000002</v>
      </c>
    </row>
    <row r="17" spans="1:22" s="145" customFormat="1" ht="24.95" customHeight="1">
      <c r="A17" s="217">
        <v>6</v>
      </c>
      <c r="B17" s="637" t="s">
        <v>226</v>
      </c>
      <c r="C17" s="1160"/>
      <c r="D17" s="1160"/>
      <c r="E17" s="1070">
        <f t="shared" si="0"/>
        <v>8.8384999999999998</v>
      </c>
      <c r="F17" s="827">
        <v>4.4000000000000004</v>
      </c>
      <c r="G17" s="1066">
        <f t="shared" si="1"/>
        <v>3.24</v>
      </c>
      <c r="H17" s="1085">
        <v>0.7</v>
      </c>
      <c r="I17" s="1086"/>
      <c r="J17" s="1087"/>
      <c r="K17" s="1069">
        <f t="shared" si="9"/>
        <v>2.0400000000000005</v>
      </c>
      <c r="L17" s="1069">
        <v>0.2</v>
      </c>
      <c r="M17" s="1088">
        <v>0.3</v>
      </c>
      <c r="N17" s="1088"/>
      <c r="O17" s="1087"/>
      <c r="P17" s="1070">
        <f t="shared" si="2"/>
        <v>1.1475000000000002</v>
      </c>
      <c r="Q17" s="1070">
        <f t="shared" si="3"/>
        <v>5.1000000000000004E-2</v>
      </c>
      <c r="R17" s="1070">
        <f t="shared" si="4"/>
        <v>1.1985000000000001</v>
      </c>
      <c r="S17" s="1158">
        <f t="shared" si="5"/>
        <v>20682.09</v>
      </c>
      <c r="T17" s="1158">
        <f t="shared" si="6"/>
        <v>248185.08000000002</v>
      </c>
      <c r="U17" s="1071">
        <f t="shared" si="7"/>
        <v>12355.2</v>
      </c>
      <c r="V17" s="1072">
        <f t="shared" si="8"/>
        <v>260540.28000000003</v>
      </c>
    </row>
    <row r="18" spans="1:22" s="206" customFormat="1" ht="24.95" customHeight="1">
      <c r="A18" s="810">
        <v>7</v>
      </c>
      <c r="B18" s="637" t="s">
        <v>227</v>
      </c>
      <c r="C18" s="1161"/>
      <c r="D18" s="1161"/>
      <c r="E18" s="1070">
        <f t="shared" si="0"/>
        <v>7.1027670000000001</v>
      </c>
      <c r="F18" s="827">
        <v>4.0599999999999996</v>
      </c>
      <c r="G18" s="1066">
        <f t="shared" si="1"/>
        <v>2.0218800000000003</v>
      </c>
      <c r="H18" s="1077"/>
      <c r="I18" s="1078">
        <f>F18*7%</f>
        <v>0.28420000000000001</v>
      </c>
      <c r="J18" s="1079"/>
      <c r="K18" s="1069">
        <f t="shared" si="9"/>
        <v>1.7376800000000001</v>
      </c>
      <c r="L18" s="1069"/>
      <c r="M18" s="1080"/>
      <c r="N18" s="1080"/>
      <c r="O18" s="1079"/>
      <c r="P18" s="1070">
        <f t="shared" si="2"/>
        <v>0.97744500000000001</v>
      </c>
      <c r="Q18" s="1070">
        <f t="shared" si="3"/>
        <v>4.3442000000000001E-2</v>
      </c>
      <c r="R18" s="1070">
        <f t="shared" si="4"/>
        <v>1.0208870000000001</v>
      </c>
      <c r="S18" s="1158">
        <f t="shared" si="5"/>
        <v>16620.47478</v>
      </c>
      <c r="T18" s="1158">
        <f t="shared" si="6"/>
        <v>199445.69735999999</v>
      </c>
      <c r="U18" s="1071">
        <f t="shared" si="7"/>
        <v>11400.48</v>
      </c>
      <c r="V18" s="1072">
        <f t="shared" si="8"/>
        <v>210846.17736</v>
      </c>
    </row>
    <row r="19" spans="1:22" s="145" customFormat="1" ht="24.95" customHeight="1">
      <c r="A19" s="217">
        <v>8</v>
      </c>
      <c r="B19" s="637" t="s">
        <v>228</v>
      </c>
      <c r="C19" s="1160"/>
      <c r="D19" s="1160"/>
      <c r="E19" s="1070">
        <f t="shared" si="0"/>
        <v>7.4355289999999998</v>
      </c>
      <c r="F19" s="827">
        <v>4.0599999999999996</v>
      </c>
      <c r="G19" s="1066">
        <f t="shared" si="1"/>
        <v>2.3355600000000001</v>
      </c>
      <c r="H19" s="1081"/>
      <c r="I19" s="1082">
        <f>F19*9%</f>
        <v>0.36539999999999995</v>
      </c>
      <c r="J19" s="1083"/>
      <c r="K19" s="1069">
        <f t="shared" si="9"/>
        <v>1.77016</v>
      </c>
      <c r="L19" s="1069">
        <v>0.2</v>
      </c>
      <c r="M19" s="1084"/>
      <c r="N19" s="1084"/>
      <c r="O19" s="1083"/>
      <c r="P19" s="1070">
        <f t="shared" si="2"/>
        <v>0.99571500000000002</v>
      </c>
      <c r="Q19" s="1070">
        <f t="shared" si="3"/>
        <v>4.4254000000000002E-2</v>
      </c>
      <c r="R19" s="1070">
        <f t="shared" si="4"/>
        <v>1.0399689999999999</v>
      </c>
      <c r="S19" s="1158">
        <f t="shared" si="5"/>
        <v>17399.137859999999</v>
      </c>
      <c r="T19" s="1158">
        <f t="shared" si="6"/>
        <v>208789.65431999997</v>
      </c>
      <c r="U19" s="1071">
        <f t="shared" si="7"/>
        <v>11400.48</v>
      </c>
      <c r="V19" s="1072">
        <f t="shared" si="8"/>
        <v>220190.13431999998</v>
      </c>
    </row>
    <row r="20" spans="1:22" s="145" customFormat="1" ht="24.95" customHeight="1">
      <c r="A20" s="810">
        <v>9</v>
      </c>
      <c r="B20" s="637" t="s">
        <v>229</v>
      </c>
      <c r="C20" s="1160"/>
      <c r="D20" s="1160"/>
      <c r="E20" s="1070">
        <f t="shared" si="0"/>
        <v>7.1776500000000008</v>
      </c>
      <c r="F20" s="827">
        <v>3.99</v>
      </c>
      <c r="G20" s="1066">
        <f t="shared" si="1"/>
        <v>2.1560000000000001</v>
      </c>
      <c r="H20" s="1085">
        <v>0.4</v>
      </c>
      <c r="I20" s="1086"/>
      <c r="J20" s="1087"/>
      <c r="K20" s="1069">
        <f t="shared" si="9"/>
        <v>1.7560000000000002</v>
      </c>
      <c r="L20" s="1069"/>
      <c r="M20" s="1088"/>
      <c r="N20" s="1088"/>
      <c r="O20" s="1087"/>
      <c r="P20" s="1070">
        <f t="shared" si="2"/>
        <v>0.98775000000000013</v>
      </c>
      <c r="Q20" s="1070">
        <f t="shared" si="3"/>
        <v>4.3900000000000008E-2</v>
      </c>
      <c r="R20" s="1070">
        <f t="shared" si="4"/>
        <v>1.0316500000000002</v>
      </c>
      <c r="S20" s="1158">
        <f t="shared" si="5"/>
        <v>16795.701000000001</v>
      </c>
      <c r="T20" s="1158">
        <f t="shared" si="6"/>
        <v>201548.41200000001</v>
      </c>
      <c r="U20" s="1071">
        <f t="shared" si="7"/>
        <v>11203.920000000002</v>
      </c>
      <c r="V20" s="1072">
        <f t="shared" si="8"/>
        <v>212752.33200000002</v>
      </c>
    </row>
    <row r="21" spans="1:22" s="145" customFormat="1" ht="24.95" customHeight="1">
      <c r="A21" s="217">
        <v>10</v>
      </c>
      <c r="B21" s="637" t="s">
        <v>230</v>
      </c>
      <c r="C21" s="1160"/>
      <c r="D21" s="1160"/>
      <c r="E21" s="1070">
        <f t="shared" si="0"/>
        <v>7.2776500000000004</v>
      </c>
      <c r="F21" s="827">
        <v>3.99</v>
      </c>
      <c r="G21" s="1066">
        <f t="shared" si="1"/>
        <v>2.2560000000000002</v>
      </c>
      <c r="H21" s="1085">
        <v>0.4</v>
      </c>
      <c r="I21" s="1086"/>
      <c r="J21" s="1087"/>
      <c r="K21" s="1069">
        <f t="shared" si="9"/>
        <v>1.7560000000000002</v>
      </c>
      <c r="L21" s="1069">
        <v>0.1</v>
      </c>
      <c r="M21" s="1088"/>
      <c r="N21" s="1088"/>
      <c r="O21" s="1087"/>
      <c r="P21" s="1070">
        <f t="shared" si="2"/>
        <v>0.98775000000000013</v>
      </c>
      <c r="Q21" s="1070">
        <f t="shared" si="3"/>
        <v>4.3900000000000008E-2</v>
      </c>
      <c r="R21" s="1070">
        <f t="shared" si="4"/>
        <v>1.0316500000000002</v>
      </c>
      <c r="S21" s="1158">
        <f t="shared" si="5"/>
        <v>17029.701000000001</v>
      </c>
      <c r="T21" s="1158">
        <f t="shared" si="6"/>
        <v>204356.41200000001</v>
      </c>
      <c r="U21" s="1071">
        <f t="shared" si="7"/>
        <v>11203.920000000002</v>
      </c>
      <c r="V21" s="1072">
        <f t="shared" si="8"/>
        <v>215560.33200000002</v>
      </c>
    </row>
    <row r="22" spans="1:22" s="145" customFormat="1" ht="24.95" customHeight="1">
      <c r="A22" s="810">
        <v>11</v>
      </c>
      <c r="B22" s="637" t="s">
        <v>231</v>
      </c>
      <c r="C22" s="1160"/>
      <c r="D22" s="1160"/>
      <c r="E22" s="1070">
        <f t="shared" si="0"/>
        <v>7.8626000000000005</v>
      </c>
      <c r="F22" s="827">
        <v>3.66</v>
      </c>
      <c r="G22" s="1066">
        <f t="shared" si="1"/>
        <v>3.2719999999999998</v>
      </c>
      <c r="H22" s="1081">
        <v>0.3</v>
      </c>
      <c r="I22" s="1082"/>
      <c r="J22" s="1083"/>
      <c r="K22" s="1069">
        <f>(F22+H22+I22)*70%</f>
        <v>2.7719999999999998</v>
      </c>
      <c r="L22" s="1069">
        <v>0.2</v>
      </c>
      <c r="M22" s="1084"/>
      <c r="N22" s="1084"/>
      <c r="O22" s="1083"/>
      <c r="P22" s="1070">
        <f t="shared" si="2"/>
        <v>0.89100000000000001</v>
      </c>
      <c r="Q22" s="1070">
        <f t="shared" si="3"/>
        <v>3.9600000000000003E-2</v>
      </c>
      <c r="R22" s="1070">
        <f t="shared" si="4"/>
        <v>0.93059999999999998</v>
      </c>
      <c r="S22" s="1158">
        <f t="shared" si="5"/>
        <v>18398.484</v>
      </c>
      <c r="T22" s="1158">
        <f t="shared" si="6"/>
        <v>220781.80800000002</v>
      </c>
      <c r="U22" s="1071">
        <f t="shared" si="7"/>
        <v>10277.279999999999</v>
      </c>
      <c r="V22" s="1072">
        <f t="shared" si="8"/>
        <v>231059.08800000002</v>
      </c>
    </row>
    <row r="23" spans="1:22" s="214" customFormat="1" ht="24.95" customHeight="1">
      <c r="A23" s="217">
        <v>12</v>
      </c>
      <c r="B23" s="637" t="s">
        <v>232</v>
      </c>
      <c r="C23" s="1162"/>
      <c r="D23" s="1162"/>
      <c r="E23" s="1070">
        <f t="shared" si="0"/>
        <v>6.1840999999999999</v>
      </c>
      <c r="F23" s="827">
        <v>3.66</v>
      </c>
      <c r="G23" s="1066">
        <f t="shared" si="1"/>
        <v>1.6640000000000001</v>
      </c>
      <c r="H23" s="1081"/>
      <c r="I23" s="1082"/>
      <c r="J23" s="1083"/>
      <c r="K23" s="1069">
        <f t="shared" si="9"/>
        <v>1.4640000000000002</v>
      </c>
      <c r="L23" s="1069">
        <v>0.2</v>
      </c>
      <c r="M23" s="1084"/>
      <c r="N23" s="1084"/>
      <c r="O23" s="1162"/>
      <c r="P23" s="1070">
        <f t="shared" si="2"/>
        <v>0.82350000000000001</v>
      </c>
      <c r="Q23" s="1070">
        <f t="shared" si="3"/>
        <v>3.6600000000000001E-2</v>
      </c>
      <c r="R23" s="1070">
        <f t="shared" si="4"/>
        <v>0.86009999999999998</v>
      </c>
      <c r="S23" s="1158">
        <f t="shared" si="5"/>
        <v>14470.794</v>
      </c>
      <c r="T23" s="1158">
        <f t="shared" si="6"/>
        <v>173649.52799999999</v>
      </c>
      <c r="U23" s="1071">
        <f t="shared" si="7"/>
        <v>10277.279999999999</v>
      </c>
      <c r="V23" s="1072">
        <f t="shared" si="8"/>
        <v>183926.80799999999</v>
      </c>
    </row>
    <row r="24" spans="1:22" s="214" customFormat="1" ht="24.95" customHeight="1">
      <c r="A24" s="810">
        <v>13</v>
      </c>
      <c r="B24" s="637" t="s">
        <v>233</v>
      </c>
      <c r="C24" s="1162"/>
      <c r="D24" s="1162"/>
      <c r="E24" s="1070">
        <f t="shared" si="0"/>
        <v>6.1840999999999999</v>
      </c>
      <c r="F24" s="827">
        <v>3.66</v>
      </c>
      <c r="G24" s="1066">
        <f t="shared" si="1"/>
        <v>1.6640000000000001</v>
      </c>
      <c r="H24" s="1081"/>
      <c r="I24" s="1082"/>
      <c r="J24" s="1163"/>
      <c r="K24" s="1069">
        <f t="shared" si="9"/>
        <v>1.4640000000000002</v>
      </c>
      <c r="L24" s="1069">
        <v>0.2</v>
      </c>
      <c r="M24" s="1164"/>
      <c r="N24" s="1164"/>
      <c r="O24" s="1165"/>
      <c r="P24" s="1070">
        <f t="shared" si="2"/>
        <v>0.82350000000000001</v>
      </c>
      <c r="Q24" s="1070">
        <f t="shared" si="3"/>
        <v>3.6600000000000001E-2</v>
      </c>
      <c r="R24" s="1070">
        <f t="shared" si="4"/>
        <v>0.86009999999999998</v>
      </c>
      <c r="S24" s="1158">
        <f t="shared" si="5"/>
        <v>14470.794</v>
      </c>
      <c r="T24" s="1158">
        <f t="shared" si="6"/>
        <v>173649.52799999999</v>
      </c>
      <c r="U24" s="1071">
        <f t="shared" si="7"/>
        <v>10277.279999999999</v>
      </c>
      <c r="V24" s="1072">
        <f t="shared" si="8"/>
        <v>183926.80799999999</v>
      </c>
    </row>
    <row r="25" spans="1:22" s="214" customFormat="1" ht="24.95" customHeight="1">
      <c r="A25" s="217">
        <v>14</v>
      </c>
      <c r="B25" s="637" t="s">
        <v>234</v>
      </c>
      <c r="C25" s="1162"/>
      <c r="D25" s="1162"/>
      <c r="E25" s="1070">
        <f t="shared" si="0"/>
        <v>5.8571000000000009</v>
      </c>
      <c r="F25" s="827">
        <v>3.46</v>
      </c>
      <c r="G25" s="1066">
        <f t="shared" si="1"/>
        <v>1.5840000000000001</v>
      </c>
      <c r="H25" s="1081"/>
      <c r="I25" s="1082"/>
      <c r="J25" s="1083"/>
      <c r="K25" s="1069">
        <f t="shared" si="9"/>
        <v>1.3840000000000001</v>
      </c>
      <c r="L25" s="1069">
        <v>0.2</v>
      </c>
      <c r="M25" s="1084"/>
      <c r="N25" s="1084"/>
      <c r="O25" s="1162"/>
      <c r="P25" s="1070">
        <f t="shared" si="2"/>
        <v>0.77849999999999997</v>
      </c>
      <c r="Q25" s="1070">
        <f t="shared" si="3"/>
        <v>3.4599999999999999E-2</v>
      </c>
      <c r="R25" s="1070">
        <f t="shared" si="4"/>
        <v>0.81309999999999993</v>
      </c>
      <c r="S25" s="1158">
        <f t="shared" si="5"/>
        <v>13705.614000000001</v>
      </c>
      <c r="T25" s="1158">
        <f t="shared" si="6"/>
        <v>164467.36800000002</v>
      </c>
      <c r="U25" s="1071">
        <f t="shared" si="7"/>
        <v>9715.6799999999985</v>
      </c>
      <c r="V25" s="1072">
        <f t="shared" si="8"/>
        <v>174183.04800000001</v>
      </c>
    </row>
    <row r="26" spans="1:22" ht="24.95" customHeight="1">
      <c r="A26" s="810">
        <v>15</v>
      </c>
      <c r="B26" s="637" t="s">
        <v>235</v>
      </c>
      <c r="C26" s="1166"/>
      <c r="D26" s="1167"/>
      <c r="E26" s="1070">
        <f t="shared" si="0"/>
        <v>5.6608999999999998</v>
      </c>
      <c r="F26" s="827">
        <v>3.34</v>
      </c>
      <c r="G26" s="1066">
        <f t="shared" si="1"/>
        <v>1.536</v>
      </c>
      <c r="H26" s="1168"/>
      <c r="I26" s="1169"/>
      <c r="J26" s="1170"/>
      <c r="K26" s="1069">
        <f t="shared" si="9"/>
        <v>1.3360000000000001</v>
      </c>
      <c r="L26" s="1069">
        <v>0.2</v>
      </c>
      <c r="M26" s="1171"/>
      <c r="N26" s="1171"/>
      <c r="O26" s="1166"/>
      <c r="P26" s="1070">
        <f t="shared" si="2"/>
        <v>0.75149999999999995</v>
      </c>
      <c r="Q26" s="1070">
        <f t="shared" si="3"/>
        <v>3.3399999999999999E-2</v>
      </c>
      <c r="R26" s="1070">
        <f t="shared" si="4"/>
        <v>0.78489999999999993</v>
      </c>
      <c r="S26" s="1158">
        <f t="shared" si="5"/>
        <v>13246.505999999999</v>
      </c>
      <c r="T26" s="1158">
        <f t="shared" si="6"/>
        <v>158958.07199999999</v>
      </c>
      <c r="U26" s="1071">
        <f t="shared" si="7"/>
        <v>9378.7199999999993</v>
      </c>
      <c r="V26" s="1072">
        <f t="shared" si="8"/>
        <v>168336.79199999999</v>
      </c>
    </row>
    <row r="27" spans="1:22" ht="24.95" customHeight="1">
      <c r="A27" s="217">
        <v>16</v>
      </c>
      <c r="B27" s="637" t="s">
        <v>236</v>
      </c>
      <c r="C27" s="1166"/>
      <c r="D27" s="1167"/>
      <c r="E27" s="1070">
        <f t="shared" si="0"/>
        <v>6.1350499999999997</v>
      </c>
      <c r="F27" s="827">
        <v>3.33</v>
      </c>
      <c r="G27" s="1066">
        <f t="shared" si="1"/>
        <v>1.952</v>
      </c>
      <c r="H27" s="1168">
        <v>0.3</v>
      </c>
      <c r="I27" s="1169"/>
      <c r="J27" s="1170"/>
      <c r="K27" s="1069">
        <f t="shared" si="9"/>
        <v>1.452</v>
      </c>
      <c r="L27" s="1069">
        <v>0.2</v>
      </c>
      <c r="M27" s="1171"/>
      <c r="N27" s="1171"/>
      <c r="O27" s="1166"/>
      <c r="P27" s="1070">
        <f t="shared" si="2"/>
        <v>0.81674999999999998</v>
      </c>
      <c r="Q27" s="1070">
        <f t="shared" si="3"/>
        <v>3.6299999999999999E-2</v>
      </c>
      <c r="R27" s="1070">
        <f t="shared" si="4"/>
        <v>0.85304999999999997</v>
      </c>
      <c r="S27" s="1158">
        <f t="shared" si="5"/>
        <v>14356.017</v>
      </c>
      <c r="T27" s="1158">
        <f t="shared" si="6"/>
        <v>172272.204</v>
      </c>
      <c r="U27" s="1071">
        <f t="shared" si="7"/>
        <v>9350.64</v>
      </c>
      <c r="V27" s="1072">
        <f t="shared" si="8"/>
        <v>181622.84399999998</v>
      </c>
    </row>
    <row r="28" spans="1:22" ht="24.95" customHeight="1">
      <c r="A28" s="810">
        <v>17</v>
      </c>
      <c r="B28" s="637" t="s">
        <v>237</v>
      </c>
      <c r="C28" s="1166"/>
      <c r="D28" s="1167"/>
      <c r="E28" s="1070">
        <f t="shared" si="0"/>
        <v>5.6445500000000006</v>
      </c>
      <c r="F28" s="827">
        <v>3.33</v>
      </c>
      <c r="G28" s="1066">
        <f t="shared" si="1"/>
        <v>1.532</v>
      </c>
      <c r="H28" s="1168"/>
      <c r="I28" s="1169"/>
      <c r="J28" s="1170"/>
      <c r="K28" s="1069">
        <f t="shared" si="9"/>
        <v>1.3320000000000001</v>
      </c>
      <c r="L28" s="1069">
        <v>0.2</v>
      </c>
      <c r="M28" s="1171"/>
      <c r="N28" s="1171"/>
      <c r="O28" s="1166"/>
      <c r="P28" s="1070">
        <f t="shared" si="2"/>
        <v>0.74925000000000008</v>
      </c>
      <c r="Q28" s="1070">
        <f t="shared" si="3"/>
        <v>3.3300000000000003E-2</v>
      </c>
      <c r="R28" s="1070">
        <f t="shared" si="4"/>
        <v>0.78255000000000008</v>
      </c>
      <c r="S28" s="1158">
        <f t="shared" si="5"/>
        <v>13208.247000000001</v>
      </c>
      <c r="T28" s="1158">
        <f t="shared" si="6"/>
        <v>158498.96400000001</v>
      </c>
      <c r="U28" s="1071">
        <f t="shared" si="7"/>
        <v>9350.64</v>
      </c>
      <c r="V28" s="1072">
        <f t="shared" si="8"/>
        <v>167849.60399999999</v>
      </c>
    </row>
    <row r="29" spans="1:22" ht="24.95" customHeight="1">
      <c r="A29" s="217">
        <v>18</v>
      </c>
      <c r="B29" s="637" t="s">
        <v>238</v>
      </c>
      <c r="C29" s="1166"/>
      <c r="D29" s="1167"/>
      <c r="E29" s="1070">
        <f t="shared" si="0"/>
        <v>5.6445500000000006</v>
      </c>
      <c r="F29" s="827">
        <v>3.33</v>
      </c>
      <c r="G29" s="1066">
        <f t="shared" si="1"/>
        <v>1.532</v>
      </c>
      <c r="H29" s="1168"/>
      <c r="I29" s="1169"/>
      <c r="J29" s="1170"/>
      <c r="K29" s="1069">
        <f t="shared" si="9"/>
        <v>1.3320000000000001</v>
      </c>
      <c r="L29" s="1069">
        <v>0.2</v>
      </c>
      <c r="M29" s="1171"/>
      <c r="N29" s="1171"/>
      <c r="O29" s="1166"/>
      <c r="P29" s="1070">
        <f t="shared" si="2"/>
        <v>0.74925000000000008</v>
      </c>
      <c r="Q29" s="1070">
        <f t="shared" si="3"/>
        <v>3.3300000000000003E-2</v>
      </c>
      <c r="R29" s="1070">
        <f t="shared" si="4"/>
        <v>0.78255000000000008</v>
      </c>
      <c r="S29" s="1158">
        <f t="shared" si="5"/>
        <v>13208.247000000001</v>
      </c>
      <c r="T29" s="1158">
        <f t="shared" si="6"/>
        <v>158498.96400000001</v>
      </c>
      <c r="U29" s="1071">
        <f t="shared" si="7"/>
        <v>9350.64</v>
      </c>
      <c r="V29" s="1072">
        <f t="shared" si="8"/>
        <v>167849.60399999999</v>
      </c>
    </row>
    <row r="30" spans="1:22" ht="24.95" customHeight="1">
      <c r="A30" s="810">
        <v>19</v>
      </c>
      <c r="B30" s="637" t="s">
        <v>239</v>
      </c>
      <c r="C30" s="1166"/>
      <c r="D30" s="1167"/>
      <c r="E30" s="1070">
        <f t="shared" si="0"/>
        <v>6.7435500000000008</v>
      </c>
      <c r="F30" s="827">
        <v>3.33</v>
      </c>
      <c r="G30" s="1066">
        <f t="shared" si="1"/>
        <v>2.6309999999999998</v>
      </c>
      <c r="H30" s="1168"/>
      <c r="I30" s="1169"/>
      <c r="J30" s="1170"/>
      <c r="K30" s="1069">
        <f>(F30+H30+I30)*70%</f>
        <v>2.331</v>
      </c>
      <c r="L30" s="1069">
        <v>0.3</v>
      </c>
      <c r="M30" s="1171"/>
      <c r="N30" s="1171"/>
      <c r="O30" s="1166"/>
      <c r="P30" s="1070">
        <f t="shared" si="2"/>
        <v>0.74925000000000008</v>
      </c>
      <c r="Q30" s="1070">
        <f t="shared" si="3"/>
        <v>3.3300000000000003E-2</v>
      </c>
      <c r="R30" s="1070">
        <f t="shared" si="4"/>
        <v>0.78255000000000008</v>
      </c>
      <c r="S30" s="1158">
        <f t="shared" si="5"/>
        <v>15779.907000000001</v>
      </c>
      <c r="T30" s="1158">
        <f t="shared" si="6"/>
        <v>189358.88400000002</v>
      </c>
      <c r="U30" s="1071">
        <f t="shared" si="7"/>
        <v>9350.64</v>
      </c>
      <c r="V30" s="1072">
        <f t="shared" si="8"/>
        <v>198709.52400000003</v>
      </c>
    </row>
    <row r="31" spans="1:22" ht="24.95" customHeight="1">
      <c r="A31" s="217">
        <v>20</v>
      </c>
      <c r="B31" s="637" t="s">
        <v>240</v>
      </c>
      <c r="C31" s="1166"/>
      <c r="D31" s="1167"/>
      <c r="E31" s="1070">
        <f t="shared" si="0"/>
        <v>6.7435500000000008</v>
      </c>
      <c r="F31" s="827">
        <v>3.33</v>
      </c>
      <c r="G31" s="1066">
        <f t="shared" si="1"/>
        <v>2.6309999999999998</v>
      </c>
      <c r="H31" s="1168"/>
      <c r="I31" s="1169"/>
      <c r="J31" s="1170"/>
      <c r="K31" s="1069">
        <f>(F31+H31+I31)*70%</f>
        <v>2.331</v>
      </c>
      <c r="L31" s="1069">
        <v>0.3</v>
      </c>
      <c r="M31" s="1171"/>
      <c r="N31" s="1171"/>
      <c r="O31" s="1166"/>
      <c r="P31" s="1070">
        <f t="shared" si="2"/>
        <v>0.74925000000000008</v>
      </c>
      <c r="Q31" s="1070">
        <f t="shared" si="3"/>
        <v>3.3300000000000003E-2</v>
      </c>
      <c r="R31" s="1070">
        <f t="shared" si="4"/>
        <v>0.78255000000000008</v>
      </c>
      <c r="S31" s="1158">
        <f t="shared" si="5"/>
        <v>15779.907000000001</v>
      </c>
      <c r="T31" s="1158">
        <f t="shared" si="6"/>
        <v>189358.88400000002</v>
      </c>
      <c r="U31" s="1071">
        <f t="shared" si="7"/>
        <v>9350.64</v>
      </c>
      <c r="V31" s="1072">
        <f t="shared" si="8"/>
        <v>198709.52400000003</v>
      </c>
    </row>
    <row r="32" spans="1:22" ht="24.95" customHeight="1">
      <c r="A32" s="810">
        <v>21</v>
      </c>
      <c r="B32" s="637" t="s">
        <v>241</v>
      </c>
      <c r="C32" s="1166"/>
      <c r="D32" s="1167"/>
      <c r="E32" s="1070">
        <f t="shared" si="0"/>
        <v>4.1125500000000006</v>
      </c>
      <c r="F32" s="827">
        <v>3.33</v>
      </c>
      <c r="G32" s="1066">
        <f t="shared" si="1"/>
        <v>0</v>
      </c>
      <c r="H32" s="1168"/>
      <c r="I32" s="1169"/>
      <c r="J32" s="1170"/>
      <c r="K32" s="1069"/>
      <c r="L32" s="1069"/>
      <c r="M32" s="1171"/>
      <c r="N32" s="1171"/>
      <c r="O32" s="1166"/>
      <c r="P32" s="1070">
        <f t="shared" si="2"/>
        <v>0.74925000000000008</v>
      </c>
      <c r="Q32" s="1070">
        <f t="shared" si="3"/>
        <v>3.3300000000000003E-2</v>
      </c>
      <c r="R32" s="1070">
        <f t="shared" si="4"/>
        <v>0.78255000000000008</v>
      </c>
      <c r="S32" s="1158">
        <f t="shared" si="5"/>
        <v>9623.367000000002</v>
      </c>
      <c r="T32" s="1158">
        <f t="shared" si="6"/>
        <v>115480.40400000002</v>
      </c>
      <c r="U32" s="1071">
        <f t="shared" si="7"/>
        <v>9350.64</v>
      </c>
      <c r="V32" s="1072">
        <f t="shared" si="8"/>
        <v>124831.04400000002</v>
      </c>
    </row>
    <row r="33" spans="1:22" ht="24.95" customHeight="1">
      <c r="A33" s="217">
        <v>22</v>
      </c>
      <c r="B33" s="637" t="s">
        <v>242</v>
      </c>
      <c r="C33" s="1166"/>
      <c r="D33" s="1167"/>
      <c r="E33" s="1070">
        <f t="shared" si="0"/>
        <v>4.5201000000000002</v>
      </c>
      <c r="F33" s="827">
        <v>3.66</v>
      </c>
      <c r="G33" s="1066">
        <f t="shared" si="1"/>
        <v>0</v>
      </c>
      <c r="H33" s="1168"/>
      <c r="I33" s="1169"/>
      <c r="J33" s="1170"/>
      <c r="K33" s="1069"/>
      <c r="L33" s="1069"/>
      <c r="M33" s="1171"/>
      <c r="N33" s="1171"/>
      <c r="O33" s="1166"/>
      <c r="P33" s="1070">
        <f t="shared" si="2"/>
        <v>0.82350000000000001</v>
      </c>
      <c r="Q33" s="1070">
        <f t="shared" si="3"/>
        <v>3.6600000000000001E-2</v>
      </c>
      <c r="R33" s="1070">
        <f t="shared" si="4"/>
        <v>0.86009999999999998</v>
      </c>
      <c r="S33" s="1158">
        <f t="shared" si="5"/>
        <v>10577.034</v>
      </c>
      <c r="T33" s="1158">
        <f t="shared" si="6"/>
        <v>126924.408</v>
      </c>
      <c r="U33" s="1071">
        <f t="shared" si="7"/>
        <v>10277.279999999999</v>
      </c>
      <c r="V33" s="1072">
        <f t="shared" si="8"/>
        <v>137201.68799999999</v>
      </c>
    </row>
    <row r="34" spans="1:22" ht="24.95" customHeight="1">
      <c r="A34" s="810">
        <v>23</v>
      </c>
      <c r="B34" s="637" t="s">
        <v>243</v>
      </c>
      <c r="C34" s="1166"/>
      <c r="D34" s="1167"/>
      <c r="E34" s="1070">
        <f t="shared" si="0"/>
        <v>4.1384499999999997</v>
      </c>
      <c r="F34" s="827">
        <v>3.27</v>
      </c>
      <c r="G34" s="1066">
        <f t="shared" si="1"/>
        <v>0.1</v>
      </c>
      <c r="H34" s="1168"/>
      <c r="I34" s="1169"/>
      <c r="J34" s="1170"/>
      <c r="K34" s="1069"/>
      <c r="L34" s="1069"/>
      <c r="M34" s="1171"/>
      <c r="N34" s="1171">
        <v>0.1</v>
      </c>
      <c r="O34" s="1166"/>
      <c r="P34" s="1070">
        <f t="shared" si="2"/>
        <v>0.73575000000000002</v>
      </c>
      <c r="Q34" s="1070">
        <f t="shared" si="3"/>
        <v>3.27E-2</v>
      </c>
      <c r="R34" s="1070">
        <f t="shared" si="4"/>
        <v>0.76844999999999997</v>
      </c>
      <c r="S34" s="1158">
        <f t="shared" si="5"/>
        <v>9683.973</v>
      </c>
      <c r="T34" s="1158">
        <f t="shared" si="6"/>
        <v>116207.67600000001</v>
      </c>
      <c r="U34" s="1071">
        <f t="shared" si="7"/>
        <v>9182.1600000000017</v>
      </c>
      <c r="V34" s="1072">
        <f t="shared" si="8"/>
        <v>125389.83600000001</v>
      </c>
    </row>
    <row r="35" spans="1:22" ht="24.95" customHeight="1">
      <c r="A35" s="217">
        <v>24</v>
      </c>
      <c r="B35" s="637" t="s">
        <v>244</v>
      </c>
      <c r="C35" s="1166"/>
      <c r="D35" s="1167"/>
      <c r="E35" s="1070">
        <f t="shared" si="0"/>
        <v>5.3300999999999998</v>
      </c>
      <c r="F35" s="827">
        <v>3.26</v>
      </c>
      <c r="G35" s="1066">
        <f t="shared" si="1"/>
        <v>1.304</v>
      </c>
      <c r="H35" s="1168"/>
      <c r="I35" s="1169"/>
      <c r="J35" s="1170"/>
      <c r="K35" s="1069">
        <f t="shared" si="9"/>
        <v>1.304</v>
      </c>
      <c r="L35" s="1069"/>
      <c r="M35" s="1171"/>
      <c r="N35" s="1171"/>
      <c r="O35" s="1166"/>
      <c r="P35" s="1070">
        <f t="shared" si="2"/>
        <v>0.73349999999999993</v>
      </c>
      <c r="Q35" s="1070">
        <f t="shared" si="3"/>
        <v>3.2599999999999997E-2</v>
      </c>
      <c r="R35" s="1070">
        <f t="shared" si="4"/>
        <v>0.76609999999999989</v>
      </c>
      <c r="S35" s="1158">
        <f t="shared" si="5"/>
        <v>12472.433999999999</v>
      </c>
      <c r="T35" s="1158">
        <f t="shared" si="6"/>
        <v>149669.20799999998</v>
      </c>
      <c r="U35" s="1071">
        <f t="shared" si="7"/>
        <v>9154.08</v>
      </c>
      <c r="V35" s="1072">
        <f t="shared" si="8"/>
        <v>158823.28799999997</v>
      </c>
    </row>
    <row r="36" spans="1:22" ht="24.95" customHeight="1">
      <c r="A36" s="810">
        <v>25</v>
      </c>
      <c r="B36" s="637" t="s">
        <v>245</v>
      </c>
      <c r="C36" s="1166"/>
      <c r="D36" s="1167"/>
      <c r="E36" s="1070">
        <f t="shared" si="0"/>
        <v>5.0031000000000008</v>
      </c>
      <c r="F36" s="827">
        <v>3.06</v>
      </c>
      <c r="G36" s="1066">
        <f t="shared" si="1"/>
        <v>1.2240000000000002</v>
      </c>
      <c r="H36" s="1168"/>
      <c r="I36" s="1169"/>
      <c r="J36" s="1170"/>
      <c r="K36" s="1069">
        <f t="shared" si="9"/>
        <v>1.2240000000000002</v>
      </c>
      <c r="L36" s="1069"/>
      <c r="M36" s="1171"/>
      <c r="N36" s="1171"/>
      <c r="O36" s="1166"/>
      <c r="P36" s="1070">
        <f t="shared" si="2"/>
        <v>0.6885</v>
      </c>
      <c r="Q36" s="1070">
        <f t="shared" si="3"/>
        <v>3.0600000000000002E-2</v>
      </c>
      <c r="R36" s="1070">
        <f t="shared" si="4"/>
        <v>0.71909999999999996</v>
      </c>
      <c r="S36" s="1158">
        <f t="shared" si="5"/>
        <v>11707.254000000003</v>
      </c>
      <c r="T36" s="1158">
        <f t="shared" si="6"/>
        <v>140487.04800000004</v>
      </c>
      <c r="U36" s="1071">
        <f t="shared" si="7"/>
        <v>8592.4800000000014</v>
      </c>
      <c r="V36" s="1072">
        <f t="shared" si="8"/>
        <v>149079.52800000005</v>
      </c>
    </row>
    <row r="37" spans="1:22" ht="24.95" customHeight="1">
      <c r="A37" s="217">
        <v>26</v>
      </c>
      <c r="B37" s="637" t="s">
        <v>246</v>
      </c>
      <c r="C37" s="1166"/>
      <c r="D37" s="1167"/>
      <c r="E37" s="1070">
        <f t="shared" si="0"/>
        <v>5.2031000000000001</v>
      </c>
      <c r="F37" s="827">
        <v>3.06</v>
      </c>
      <c r="G37" s="1066">
        <f t="shared" si="1"/>
        <v>1.4240000000000002</v>
      </c>
      <c r="H37" s="1168"/>
      <c r="I37" s="1169"/>
      <c r="J37" s="1170"/>
      <c r="K37" s="1069">
        <f t="shared" si="9"/>
        <v>1.2240000000000002</v>
      </c>
      <c r="L37" s="1069">
        <v>0.2</v>
      </c>
      <c r="M37" s="1171"/>
      <c r="N37" s="1171"/>
      <c r="O37" s="1166"/>
      <c r="P37" s="1070">
        <f t="shared" si="2"/>
        <v>0.6885</v>
      </c>
      <c r="Q37" s="1070">
        <f t="shared" si="3"/>
        <v>3.0600000000000002E-2</v>
      </c>
      <c r="R37" s="1070">
        <f t="shared" si="4"/>
        <v>0.71909999999999996</v>
      </c>
      <c r="S37" s="1158">
        <f t="shared" si="5"/>
        <v>12175.254000000001</v>
      </c>
      <c r="T37" s="1158">
        <f t="shared" si="6"/>
        <v>146103.04800000001</v>
      </c>
      <c r="U37" s="1071">
        <f t="shared" si="7"/>
        <v>8592.4800000000014</v>
      </c>
      <c r="V37" s="1072">
        <f t="shared" si="8"/>
        <v>154695.52800000002</v>
      </c>
    </row>
    <row r="38" spans="1:22" ht="24.95" customHeight="1">
      <c r="A38" s="810">
        <v>27</v>
      </c>
      <c r="B38" s="637" t="s">
        <v>247</v>
      </c>
      <c r="C38" s="1166"/>
      <c r="D38" s="1167"/>
      <c r="E38" s="1070">
        <f t="shared" si="0"/>
        <v>5.1050000000000004</v>
      </c>
      <c r="F38" s="827">
        <v>3</v>
      </c>
      <c r="G38" s="1066">
        <f t="shared" si="1"/>
        <v>1.4000000000000001</v>
      </c>
      <c r="H38" s="1168"/>
      <c r="I38" s="1169"/>
      <c r="J38" s="1170"/>
      <c r="K38" s="1069">
        <f t="shared" si="9"/>
        <v>1.2000000000000002</v>
      </c>
      <c r="L38" s="1069">
        <v>0.2</v>
      </c>
      <c r="M38" s="1171"/>
      <c r="N38" s="1171"/>
      <c r="O38" s="1166"/>
      <c r="P38" s="1070">
        <f t="shared" si="2"/>
        <v>0.67500000000000004</v>
      </c>
      <c r="Q38" s="1070">
        <f t="shared" si="3"/>
        <v>0.03</v>
      </c>
      <c r="R38" s="1070">
        <f t="shared" si="4"/>
        <v>0.70500000000000007</v>
      </c>
      <c r="S38" s="1158">
        <f t="shared" si="5"/>
        <v>11945.7</v>
      </c>
      <c r="T38" s="1158">
        <f t="shared" si="6"/>
        <v>143348.40000000002</v>
      </c>
      <c r="U38" s="1071">
        <f t="shared" si="7"/>
        <v>8424</v>
      </c>
      <c r="V38" s="1072">
        <f t="shared" si="8"/>
        <v>151772.40000000002</v>
      </c>
    </row>
    <row r="39" spans="1:22" ht="24.95" customHeight="1">
      <c r="A39" s="217">
        <v>28</v>
      </c>
      <c r="B39" s="637" t="s">
        <v>248</v>
      </c>
      <c r="C39" s="1166"/>
      <c r="D39" s="1167"/>
      <c r="E39" s="1070">
        <f t="shared" si="0"/>
        <v>4.0259</v>
      </c>
      <c r="F39" s="827">
        <v>2.34</v>
      </c>
      <c r="G39" s="1066">
        <f t="shared" si="1"/>
        <v>1.1359999999999999</v>
      </c>
      <c r="H39" s="1168"/>
      <c r="I39" s="1169"/>
      <c r="J39" s="1170"/>
      <c r="K39" s="1069">
        <f t="shared" si="9"/>
        <v>0.93599999999999994</v>
      </c>
      <c r="L39" s="1069">
        <v>0.2</v>
      </c>
      <c r="M39" s="1171"/>
      <c r="N39" s="1171"/>
      <c r="O39" s="1166"/>
      <c r="P39" s="1070">
        <f t="shared" si="2"/>
        <v>0.52649999999999997</v>
      </c>
      <c r="Q39" s="1070">
        <f t="shared" si="3"/>
        <v>2.3400000000000001E-2</v>
      </c>
      <c r="R39" s="1070">
        <f t="shared" si="4"/>
        <v>0.54989999999999994</v>
      </c>
      <c r="S39" s="1158">
        <f t="shared" si="5"/>
        <v>9420.6059999999998</v>
      </c>
      <c r="T39" s="1158">
        <f t="shared" si="6"/>
        <v>113047.272</v>
      </c>
      <c r="U39" s="1071">
        <f t="shared" si="7"/>
        <v>6570.72</v>
      </c>
      <c r="V39" s="1072">
        <f t="shared" si="8"/>
        <v>119617.992</v>
      </c>
    </row>
    <row r="40" spans="1:22" ht="24.95" customHeight="1">
      <c r="A40" s="810">
        <v>29</v>
      </c>
      <c r="B40" s="637" t="s">
        <v>249</v>
      </c>
      <c r="C40" s="1166"/>
      <c r="D40" s="1167"/>
      <c r="E40" s="1070">
        <f t="shared" si="0"/>
        <v>4.0259</v>
      </c>
      <c r="F40" s="827">
        <v>2.34</v>
      </c>
      <c r="G40" s="1066">
        <f t="shared" si="1"/>
        <v>1.1359999999999999</v>
      </c>
      <c r="H40" s="1168"/>
      <c r="I40" s="1169"/>
      <c r="J40" s="1170"/>
      <c r="K40" s="1069">
        <f t="shared" si="9"/>
        <v>0.93599999999999994</v>
      </c>
      <c r="L40" s="1069">
        <v>0.2</v>
      </c>
      <c r="M40" s="1171"/>
      <c r="N40" s="1171"/>
      <c r="O40" s="1166"/>
      <c r="P40" s="1070">
        <f t="shared" si="2"/>
        <v>0.52649999999999997</v>
      </c>
      <c r="Q40" s="1070">
        <f t="shared" si="3"/>
        <v>2.3400000000000001E-2</v>
      </c>
      <c r="R40" s="1070">
        <f t="shared" si="4"/>
        <v>0.54989999999999994</v>
      </c>
      <c r="S40" s="1158">
        <f t="shared" si="5"/>
        <v>9420.6059999999998</v>
      </c>
      <c r="T40" s="1158">
        <f t="shared" si="6"/>
        <v>113047.272</v>
      </c>
      <c r="U40" s="1071">
        <f t="shared" si="7"/>
        <v>6570.72</v>
      </c>
      <c r="V40" s="1072">
        <f t="shared" si="8"/>
        <v>119617.992</v>
      </c>
    </row>
    <row r="41" spans="1:22" ht="24.95" customHeight="1">
      <c r="A41" s="217">
        <v>30</v>
      </c>
      <c r="B41" s="637" t="s">
        <v>250</v>
      </c>
      <c r="C41" s="1166"/>
      <c r="D41" s="1167"/>
      <c r="E41" s="1070">
        <f t="shared" si="0"/>
        <v>4.0259</v>
      </c>
      <c r="F41" s="827">
        <v>2.34</v>
      </c>
      <c r="G41" s="1066">
        <f t="shared" si="1"/>
        <v>1.1359999999999999</v>
      </c>
      <c r="H41" s="1168"/>
      <c r="I41" s="1169"/>
      <c r="J41" s="1170"/>
      <c r="K41" s="1069">
        <f t="shared" si="9"/>
        <v>0.93599999999999994</v>
      </c>
      <c r="L41" s="1069">
        <v>0.2</v>
      </c>
      <c r="M41" s="1171"/>
      <c r="N41" s="1171"/>
      <c r="O41" s="1166"/>
      <c r="P41" s="1070">
        <f t="shared" si="2"/>
        <v>0.52649999999999997</v>
      </c>
      <c r="Q41" s="1070">
        <f t="shared" si="3"/>
        <v>2.3400000000000001E-2</v>
      </c>
      <c r="R41" s="1070">
        <f t="shared" si="4"/>
        <v>0.54989999999999994</v>
      </c>
      <c r="S41" s="1158">
        <f t="shared" si="5"/>
        <v>9420.6059999999998</v>
      </c>
      <c r="T41" s="1158">
        <f t="shared" si="6"/>
        <v>113047.272</v>
      </c>
      <c r="U41" s="1071">
        <f t="shared" si="7"/>
        <v>6570.72</v>
      </c>
      <c r="V41" s="1072">
        <f t="shared" si="8"/>
        <v>119617.992</v>
      </c>
    </row>
    <row r="42" spans="1:22" ht="24.95" customHeight="1">
      <c r="A42" s="810">
        <v>31</v>
      </c>
      <c r="B42" s="637" t="s">
        <v>251</v>
      </c>
      <c r="C42" s="1166"/>
      <c r="D42" s="1167"/>
      <c r="E42" s="1070">
        <f t="shared" si="0"/>
        <v>3.9258999999999999</v>
      </c>
      <c r="F42" s="827">
        <v>2.34</v>
      </c>
      <c r="G42" s="1066">
        <f t="shared" si="1"/>
        <v>1.036</v>
      </c>
      <c r="H42" s="1168"/>
      <c r="I42" s="1169"/>
      <c r="J42" s="1170"/>
      <c r="K42" s="1069">
        <f t="shared" si="9"/>
        <v>0.93599999999999994</v>
      </c>
      <c r="L42" s="1069">
        <v>0.1</v>
      </c>
      <c r="M42" s="1171"/>
      <c r="N42" s="1171"/>
      <c r="O42" s="1166"/>
      <c r="P42" s="1070">
        <f t="shared" si="2"/>
        <v>0.52649999999999997</v>
      </c>
      <c r="Q42" s="1070">
        <f t="shared" si="3"/>
        <v>2.3400000000000001E-2</v>
      </c>
      <c r="R42" s="1070">
        <f t="shared" si="4"/>
        <v>0.54989999999999994</v>
      </c>
      <c r="S42" s="1158">
        <f t="shared" si="5"/>
        <v>9186.6059999999998</v>
      </c>
      <c r="T42" s="1158">
        <f t="shared" si="6"/>
        <v>110239.272</v>
      </c>
      <c r="U42" s="1071">
        <f t="shared" si="7"/>
        <v>6570.72</v>
      </c>
      <c r="V42" s="1072">
        <f t="shared" si="8"/>
        <v>116809.992</v>
      </c>
    </row>
    <row r="43" spans="1:22" ht="24.95" customHeight="1">
      <c r="A43" s="217">
        <v>32</v>
      </c>
      <c r="B43" s="637" t="s">
        <v>252</v>
      </c>
      <c r="C43" s="1166"/>
      <c r="D43" s="1167"/>
      <c r="E43" s="1070">
        <f t="shared" si="0"/>
        <v>4.0259</v>
      </c>
      <c r="F43" s="827">
        <v>2.34</v>
      </c>
      <c r="G43" s="1066">
        <f t="shared" si="1"/>
        <v>1.1359999999999999</v>
      </c>
      <c r="H43" s="1168"/>
      <c r="I43" s="1169"/>
      <c r="J43" s="1170"/>
      <c r="K43" s="1069">
        <f t="shared" si="9"/>
        <v>0.93599999999999994</v>
      </c>
      <c r="L43" s="1069">
        <v>0.2</v>
      </c>
      <c r="M43" s="1171"/>
      <c r="N43" s="1171"/>
      <c r="O43" s="1166"/>
      <c r="P43" s="1070">
        <f t="shared" si="2"/>
        <v>0.52649999999999997</v>
      </c>
      <c r="Q43" s="1070">
        <f t="shared" si="3"/>
        <v>2.3400000000000001E-2</v>
      </c>
      <c r="R43" s="1070">
        <f t="shared" si="4"/>
        <v>0.54989999999999994</v>
      </c>
      <c r="S43" s="1158">
        <f t="shared" si="5"/>
        <v>9420.6059999999998</v>
      </c>
      <c r="T43" s="1158">
        <f t="shared" si="6"/>
        <v>113047.272</v>
      </c>
      <c r="U43" s="1071">
        <f t="shared" si="7"/>
        <v>6570.72</v>
      </c>
      <c r="V43" s="1072">
        <f t="shared" si="8"/>
        <v>119617.992</v>
      </c>
    </row>
    <row r="44" spans="1:22" ht="24.95" customHeight="1">
      <c r="A44" s="810">
        <v>33</v>
      </c>
      <c r="B44" s="637" t="s">
        <v>253</v>
      </c>
      <c r="C44" s="1166"/>
      <c r="D44" s="1167"/>
      <c r="E44" s="1070">
        <f t="shared" si="0"/>
        <v>2.4564150000000002</v>
      </c>
      <c r="F44" s="828">
        <v>1.9890000000000001</v>
      </c>
      <c r="G44" s="1066">
        <f t="shared" si="1"/>
        <v>0</v>
      </c>
      <c r="H44" s="1168"/>
      <c r="I44" s="1169"/>
      <c r="J44" s="1170"/>
      <c r="K44" s="1069"/>
      <c r="L44" s="1069"/>
      <c r="M44" s="1171"/>
      <c r="N44" s="1171"/>
      <c r="O44" s="1166"/>
      <c r="P44" s="1070">
        <f t="shared" si="2"/>
        <v>0.44752500000000001</v>
      </c>
      <c r="Q44" s="1070">
        <f t="shared" si="3"/>
        <v>1.9890000000000001E-2</v>
      </c>
      <c r="R44" s="1070">
        <f t="shared" si="4"/>
        <v>0.46741500000000002</v>
      </c>
      <c r="S44" s="1158">
        <f t="shared" si="5"/>
        <v>5748.0111000000006</v>
      </c>
      <c r="T44" s="1158">
        <f t="shared" si="6"/>
        <v>68976.133200000011</v>
      </c>
      <c r="U44" s="1071">
        <f t="shared" si="7"/>
        <v>5585.112000000001</v>
      </c>
      <c r="V44" s="1072">
        <f t="shared" si="8"/>
        <v>74561.245200000005</v>
      </c>
    </row>
    <row r="45" spans="1:22" ht="24.95" customHeight="1">
      <c r="A45" s="217">
        <v>34</v>
      </c>
      <c r="B45" s="637" t="s">
        <v>240</v>
      </c>
      <c r="C45" s="1166"/>
      <c r="D45" s="1167"/>
      <c r="E45" s="1070">
        <f t="shared" si="0"/>
        <v>2.4564150000000002</v>
      </c>
      <c r="F45" s="828">
        <v>1.9890000000000001</v>
      </c>
      <c r="G45" s="1066">
        <f t="shared" si="1"/>
        <v>0</v>
      </c>
      <c r="H45" s="1168"/>
      <c r="I45" s="1169"/>
      <c r="J45" s="1170"/>
      <c r="K45" s="1069"/>
      <c r="L45" s="1069"/>
      <c r="M45" s="1171"/>
      <c r="N45" s="1171"/>
      <c r="O45" s="1166"/>
      <c r="P45" s="1070">
        <f t="shared" si="2"/>
        <v>0.44752500000000001</v>
      </c>
      <c r="Q45" s="1070">
        <f t="shared" si="3"/>
        <v>1.9890000000000001E-2</v>
      </c>
      <c r="R45" s="1070">
        <f t="shared" si="4"/>
        <v>0.46741500000000002</v>
      </c>
      <c r="S45" s="1158">
        <f t="shared" si="5"/>
        <v>5748.0111000000006</v>
      </c>
      <c r="T45" s="1158">
        <f t="shared" si="6"/>
        <v>68976.133200000011</v>
      </c>
      <c r="U45" s="1071">
        <f t="shared" si="7"/>
        <v>5585.112000000001</v>
      </c>
      <c r="V45" s="1072">
        <f t="shared" si="8"/>
        <v>74561.245200000005</v>
      </c>
    </row>
    <row r="46" spans="1:22" ht="24.95" customHeight="1">
      <c r="A46" s="810">
        <v>35</v>
      </c>
      <c r="B46" s="637" t="s">
        <v>486</v>
      </c>
      <c r="C46" s="1166"/>
      <c r="D46" s="1167"/>
      <c r="E46" s="1070">
        <f t="shared" si="0"/>
        <v>6.1840999999999999</v>
      </c>
      <c r="F46" s="827">
        <v>3.66</v>
      </c>
      <c r="G46" s="1066">
        <f t="shared" si="1"/>
        <v>1.6640000000000001</v>
      </c>
      <c r="H46" s="1168"/>
      <c r="I46" s="1169"/>
      <c r="J46" s="1170"/>
      <c r="K46" s="1069">
        <f t="shared" si="9"/>
        <v>1.4640000000000002</v>
      </c>
      <c r="L46" s="1069">
        <v>0.2</v>
      </c>
      <c r="M46" s="1171"/>
      <c r="N46" s="1171"/>
      <c r="O46" s="1166"/>
      <c r="P46" s="1070">
        <f t="shared" si="2"/>
        <v>0.82350000000000001</v>
      </c>
      <c r="Q46" s="1070">
        <f t="shared" si="3"/>
        <v>3.6600000000000001E-2</v>
      </c>
      <c r="R46" s="1070">
        <f t="shared" si="4"/>
        <v>0.86009999999999998</v>
      </c>
      <c r="S46" s="1158">
        <f t="shared" si="5"/>
        <v>14470.794</v>
      </c>
      <c r="T46" s="1158">
        <f t="shared" si="6"/>
        <v>173649.52799999999</v>
      </c>
      <c r="U46" s="1071">
        <f t="shared" si="7"/>
        <v>10277.279999999999</v>
      </c>
      <c r="V46" s="1072">
        <f t="shared" si="8"/>
        <v>183926.80799999999</v>
      </c>
    </row>
    <row r="47" spans="1:22" ht="24.95" customHeight="1">
      <c r="B47" s="303" t="s">
        <v>10</v>
      </c>
      <c r="C47" s="1166"/>
      <c r="D47" s="1167"/>
      <c r="E47" s="1070">
        <f t="shared" si="0"/>
        <v>211.51014100000003</v>
      </c>
      <c r="F47" s="1172">
        <f>SUM(F12:F46)</f>
        <v>120.81800000000001</v>
      </c>
      <c r="G47" s="1066">
        <f t="shared" si="1"/>
        <v>61.125240000000012</v>
      </c>
      <c r="H47" s="1168">
        <f>SUM(H12:H46)</f>
        <v>4.0999999999999996</v>
      </c>
      <c r="I47" s="1169">
        <f>SUM(I12:I46)</f>
        <v>0.89859999999999995</v>
      </c>
      <c r="J47" s="1170"/>
      <c r="K47" s="1069">
        <f t="shared" si="9"/>
        <v>50.326640000000005</v>
      </c>
      <c r="L47" s="1069">
        <f>SUM(L12:L46)</f>
        <v>5.0000000000000009</v>
      </c>
      <c r="M47" s="1171">
        <f>SUM(M12:M46)</f>
        <v>0.6</v>
      </c>
      <c r="N47" s="1171">
        <f>SUM(N12:N46)</f>
        <v>0.2</v>
      </c>
      <c r="O47" s="1166"/>
      <c r="P47" s="1070">
        <f t="shared" si="2"/>
        <v>28.308735000000002</v>
      </c>
      <c r="Q47" s="1070">
        <f t="shared" si="3"/>
        <v>1.2581660000000001</v>
      </c>
      <c r="R47" s="1070">
        <f t="shared" si="4"/>
        <v>29.566901000000001</v>
      </c>
      <c r="S47" s="1158">
        <f t="shared" si="5"/>
        <v>494933.72994000005</v>
      </c>
      <c r="T47" s="1158">
        <f t="shared" si="6"/>
        <v>5939204.7592800008</v>
      </c>
      <c r="U47" s="1071">
        <f t="shared" si="7"/>
        <v>339256.94400000008</v>
      </c>
      <c r="V47" s="1072">
        <f t="shared" si="8"/>
        <v>6278461.7032800009</v>
      </c>
    </row>
    <row r="48" spans="1:22">
      <c r="S48" s="613" t="s">
        <v>445</v>
      </c>
      <c r="T48" s="613"/>
    </row>
    <row r="49" spans="2:22" ht="18.75">
      <c r="B49" s="859" t="s">
        <v>485</v>
      </c>
      <c r="C49" s="859"/>
      <c r="D49" s="859"/>
      <c r="E49" s="859"/>
      <c r="F49" s="859"/>
      <c r="G49" s="859"/>
      <c r="H49" s="859"/>
      <c r="I49" s="859"/>
      <c r="J49" s="859"/>
      <c r="K49" s="859"/>
      <c r="L49" s="859"/>
      <c r="M49" s="859"/>
      <c r="N49" s="859"/>
      <c r="O49" s="859"/>
      <c r="P49" s="859"/>
      <c r="Q49" s="859"/>
      <c r="R49" s="859"/>
      <c r="S49" s="859"/>
      <c r="T49" s="859"/>
      <c r="U49" s="859"/>
      <c r="V49" s="859"/>
    </row>
    <row r="50" spans="2:22">
      <c r="S50" s="613"/>
      <c r="T50" s="613"/>
    </row>
    <row r="51" spans="2:22">
      <c r="S51" s="613"/>
      <c r="T51" s="613"/>
    </row>
    <row r="52" spans="2:22">
      <c r="S52" s="613"/>
      <c r="T52" s="613"/>
    </row>
    <row r="53" spans="2:22">
      <c r="S53" s="613"/>
      <c r="T53" s="613"/>
    </row>
    <row r="54" spans="2:22">
      <c r="S54" s="613"/>
      <c r="T54" s="613"/>
    </row>
    <row r="55" spans="2:22">
      <c r="S55" s="613"/>
      <c r="T55" s="613"/>
    </row>
    <row r="56" spans="2:22">
      <c r="S56" s="613"/>
      <c r="T56" s="613"/>
    </row>
    <row r="57" spans="2:22">
      <c r="S57" s="613"/>
      <c r="T57" s="613"/>
    </row>
    <row r="58" spans="2:22">
      <c r="S58" s="613"/>
      <c r="T58" s="613"/>
    </row>
    <row r="59" spans="2:22">
      <c r="S59" s="613"/>
      <c r="T59" s="613"/>
    </row>
    <row r="60" spans="2:22">
      <c r="S60" s="613"/>
      <c r="T60" s="613"/>
    </row>
    <row r="61" spans="2:22">
      <c r="S61" s="613"/>
      <c r="T61" s="613"/>
    </row>
    <row r="62" spans="2:22">
      <c r="S62" s="613"/>
      <c r="T62" s="613"/>
    </row>
    <row r="63" spans="2:22">
      <c r="S63" s="613"/>
      <c r="T63" s="613"/>
    </row>
    <row r="64" spans="2:22">
      <c r="S64" s="613"/>
      <c r="T64" s="613"/>
    </row>
    <row r="65" spans="19:20">
      <c r="S65" s="613"/>
      <c r="T65" s="613"/>
    </row>
    <row r="66" spans="19:20">
      <c r="S66" s="613"/>
      <c r="T66" s="613"/>
    </row>
    <row r="67" spans="19:20">
      <c r="S67" s="613"/>
      <c r="T67" s="613"/>
    </row>
    <row r="68" spans="19:20">
      <c r="S68" s="613"/>
      <c r="T68" s="613"/>
    </row>
    <row r="69" spans="19:20">
      <c r="S69" s="613"/>
      <c r="T69" s="613"/>
    </row>
    <row r="70" spans="19:20">
      <c r="S70" s="613"/>
      <c r="T70" s="613"/>
    </row>
    <row r="71" spans="19:20">
      <c r="S71" s="613"/>
      <c r="T71" s="613"/>
    </row>
    <row r="72" spans="19:20">
      <c r="S72" s="613"/>
      <c r="T72" s="613"/>
    </row>
    <row r="73" spans="19:20">
      <c r="S73" s="613"/>
      <c r="T73" s="613"/>
    </row>
    <row r="74" spans="19:20">
      <c r="S74" s="613"/>
      <c r="T74" s="613"/>
    </row>
    <row r="75" spans="19:20">
      <c r="S75" s="613"/>
      <c r="T75" s="613"/>
    </row>
    <row r="76" spans="19:20">
      <c r="S76" s="613"/>
      <c r="T76" s="613"/>
    </row>
    <row r="77" spans="19:20">
      <c r="S77" s="613"/>
      <c r="T77" s="613"/>
    </row>
    <row r="78" spans="19:20">
      <c r="S78" s="613"/>
      <c r="T78" s="613"/>
    </row>
    <row r="79" spans="19:20">
      <c r="S79" s="613"/>
      <c r="T79" s="613"/>
    </row>
    <row r="80" spans="19:20">
      <c r="S80" s="613"/>
      <c r="T80" s="613"/>
    </row>
    <row r="81" spans="19:20">
      <c r="S81" s="613"/>
      <c r="T81" s="613"/>
    </row>
    <row r="82" spans="19:20">
      <c r="S82" s="613"/>
      <c r="T82" s="613"/>
    </row>
    <row r="83" spans="19:20">
      <c r="S83" s="613"/>
      <c r="T83" s="613"/>
    </row>
    <row r="84" spans="19:20">
      <c r="S84" s="613"/>
      <c r="T84" s="613"/>
    </row>
    <row r="85" spans="19:20">
      <c r="S85" s="613"/>
      <c r="T85" s="613"/>
    </row>
    <row r="86" spans="19:20">
      <c r="S86" s="613"/>
      <c r="T86" s="613"/>
    </row>
    <row r="87" spans="19:20">
      <c r="S87" s="613"/>
      <c r="T87" s="613"/>
    </row>
    <row r="88" spans="19:20">
      <c r="S88" s="613"/>
      <c r="T88" s="613"/>
    </row>
    <row r="89" spans="19:20">
      <c r="S89" s="613"/>
      <c r="T89" s="613"/>
    </row>
    <row r="90" spans="19:20">
      <c r="S90" s="613"/>
      <c r="T90" s="613"/>
    </row>
    <row r="91" spans="19:20">
      <c r="S91" s="613"/>
      <c r="T91" s="613"/>
    </row>
    <row r="92" spans="19:20">
      <c r="S92" s="613"/>
      <c r="T92" s="613"/>
    </row>
    <row r="93" spans="19:20">
      <c r="S93" s="613"/>
      <c r="T93" s="613"/>
    </row>
    <row r="94" spans="19:20">
      <c r="S94" s="613"/>
      <c r="T94" s="613"/>
    </row>
    <row r="95" spans="19:20">
      <c r="S95" s="613"/>
      <c r="T95" s="613"/>
    </row>
    <row r="96" spans="19:20">
      <c r="S96" s="613"/>
      <c r="T96" s="613"/>
    </row>
    <row r="279" spans="1:20" s="107" customFormat="1">
      <c r="C279" s="161"/>
      <c r="D279" s="161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S279" s="84"/>
      <c r="T279" s="84"/>
    </row>
    <row r="280" spans="1:20" s="107" customFormat="1">
      <c r="C280" s="161"/>
      <c r="D280" s="161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S280" s="84"/>
      <c r="T280" s="84"/>
    </row>
    <row r="281" spans="1:20" s="107" customFormat="1">
      <c r="C281" s="161"/>
      <c r="D281" s="161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S281" s="84"/>
      <c r="T281" s="84"/>
    </row>
    <row r="282" spans="1:20" s="107" customFormat="1">
      <c r="C282" s="161"/>
      <c r="D282" s="161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S282" s="84"/>
      <c r="T282" s="84"/>
    </row>
    <row r="283" spans="1:20" s="107" customFormat="1">
      <c r="A283" s="846"/>
      <c r="B283" s="847"/>
      <c r="C283" s="847"/>
      <c r="D283" s="847"/>
      <c r="E283" s="847"/>
      <c r="F283" s="847"/>
      <c r="G283" s="847"/>
      <c r="H283" s="847"/>
      <c r="I283" s="847"/>
      <c r="J283" s="847"/>
      <c r="K283" s="847"/>
      <c r="L283" s="847"/>
      <c r="M283" s="847"/>
      <c r="N283" s="847"/>
      <c r="O283" s="847"/>
      <c r="S283" s="84"/>
      <c r="T283" s="84"/>
    </row>
    <row r="284" spans="1:20" s="107" customFormat="1" ht="18.75">
      <c r="A284" s="74"/>
      <c r="B284" s="75"/>
      <c r="C284" s="101"/>
      <c r="D284" s="101"/>
      <c r="E284" s="97"/>
      <c r="F284" s="97"/>
      <c r="G284" s="97"/>
      <c r="H284" s="97"/>
      <c r="I284" s="97"/>
      <c r="J284" s="97"/>
      <c r="K284" s="97"/>
      <c r="L284" s="848"/>
      <c r="M284" s="848"/>
      <c r="N284" s="98"/>
      <c r="O284" s="156"/>
      <c r="S284" s="84"/>
      <c r="T284" s="84"/>
    </row>
    <row r="285" spans="1:20" s="107" customFormat="1" ht="18.75">
      <c r="A285" s="76"/>
      <c r="B285" s="77"/>
      <c r="C285" s="102"/>
      <c r="D285" s="102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156"/>
      <c r="S285" s="84"/>
      <c r="T285" s="84"/>
    </row>
    <row r="286" spans="1:20" s="107" customFormat="1">
      <c r="C286" s="161"/>
      <c r="D286" s="161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S286" s="84"/>
      <c r="T286" s="84"/>
    </row>
    <row r="287" spans="1:20" s="107" customFormat="1">
      <c r="C287" s="161"/>
      <c r="D287" s="161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S287" s="84"/>
      <c r="T287" s="84"/>
    </row>
    <row r="288" spans="1:20" s="107" customFormat="1">
      <c r="C288" s="161"/>
      <c r="D288" s="161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S288" s="84"/>
      <c r="T288" s="84"/>
    </row>
    <row r="289" spans="3:20" s="107" customFormat="1">
      <c r="C289" s="161"/>
      <c r="D289" s="161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S289" s="615"/>
      <c r="T289" s="615"/>
    </row>
    <row r="290" spans="3:20" s="107" customFormat="1">
      <c r="C290" s="161"/>
      <c r="D290" s="161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S290" s="615"/>
      <c r="T290" s="615"/>
    </row>
    <row r="291" spans="3:20" s="107" customFormat="1">
      <c r="C291" s="161"/>
      <c r="D291" s="161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S291" s="615"/>
      <c r="T291" s="615"/>
    </row>
    <row r="292" spans="3:20" s="107" customFormat="1">
      <c r="C292" s="161"/>
      <c r="D292" s="161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S292" s="615"/>
      <c r="T292" s="615"/>
    </row>
    <row r="293" spans="3:20" s="107" customFormat="1">
      <c r="C293" s="161"/>
      <c r="D293" s="161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S293" s="615"/>
      <c r="T293" s="615"/>
    </row>
    <row r="294" spans="3:20" s="107" customFormat="1">
      <c r="C294" s="161"/>
      <c r="D294" s="161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S294" s="615"/>
      <c r="T294" s="615"/>
    </row>
    <row r="295" spans="3:20">
      <c r="S295" s="615"/>
      <c r="T295" s="615"/>
    </row>
    <row r="296" spans="3:20">
      <c r="S296" s="615"/>
      <c r="T296" s="615"/>
    </row>
  </sheetData>
  <mergeCells count="22">
    <mergeCell ref="L284:M284"/>
    <mergeCell ref="E8:E9"/>
    <mergeCell ref="F8:F9"/>
    <mergeCell ref="G8:G9"/>
    <mergeCell ref="H8:N8"/>
    <mergeCell ref="B49:V49"/>
    <mergeCell ref="S7:T8"/>
    <mergeCell ref="U7:U9"/>
    <mergeCell ref="V7:V9"/>
    <mergeCell ref="C7:C9"/>
    <mergeCell ref="D7:D9"/>
    <mergeCell ref="A1:C1"/>
    <mergeCell ref="A2:C2"/>
    <mergeCell ref="B4:V4"/>
    <mergeCell ref="B5:V5"/>
    <mergeCell ref="A283:O283"/>
    <mergeCell ref="O8:O9"/>
    <mergeCell ref="A7:A9"/>
    <mergeCell ref="B7:B9"/>
    <mergeCell ref="E7:R7"/>
    <mergeCell ref="P8:R8"/>
    <mergeCell ref="P6:Q6"/>
  </mergeCells>
  <conditionalFormatting sqref="F46 B12:B46 B49">
    <cfRule type="expression" dxfId="17" priority="2" stopIfTrue="1">
      <formula>#REF!=""</formula>
    </cfRule>
  </conditionalFormatting>
  <conditionalFormatting sqref="F12:F45">
    <cfRule type="expression" dxfId="16" priority="1" stopIfTrue="1">
      <formula>#REF!=""</formula>
    </cfRule>
  </conditionalFormatting>
  <pageMargins left="0" right="0" top="0" bottom="0" header="0.3" footer="0.3"/>
  <pageSetup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9"/>
  <sheetViews>
    <sheetView workbookViewId="0">
      <selection activeCell="C4" sqref="C4:U4"/>
    </sheetView>
  </sheetViews>
  <sheetFormatPr defaultColWidth="9" defaultRowHeight="11.25"/>
  <cols>
    <col min="1" max="1" width="4" style="113" customWidth="1"/>
    <col min="2" max="2" width="15.5546875" style="112" customWidth="1"/>
    <col min="3" max="3" width="4.44140625" style="112" customWidth="1"/>
    <col min="4" max="4" width="4" style="112" customWidth="1"/>
    <col min="5" max="6" width="15.109375" style="112" hidden="1" customWidth="1"/>
    <col min="7" max="7" width="6.44140625" style="112" customWidth="1"/>
    <col min="8" max="8" width="6.88671875" style="112" customWidth="1"/>
    <col min="9" max="9" width="6.109375" style="112" customWidth="1"/>
    <col min="10" max="10" width="4.77734375" style="112" customWidth="1"/>
    <col min="11" max="11" width="5.33203125" style="112" customWidth="1"/>
    <col min="12" max="12" width="3.21875" style="112" customWidth="1"/>
    <col min="13" max="13" width="7" style="112" customWidth="1"/>
    <col min="14" max="14" width="3.44140625" style="112" customWidth="1"/>
    <col min="15" max="15" width="1.77734375" style="112" customWidth="1"/>
    <col min="16" max="16" width="2.44140625" style="112" customWidth="1"/>
    <col min="17" max="17" width="0.109375" style="112" hidden="1" customWidth="1"/>
    <col min="18" max="18" width="7.21875" style="112" customWidth="1"/>
    <col min="19" max="19" width="8.109375" style="112" customWidth="1"/>
    <col min="20" max="20" width="8.6640625" style="112" customWidth="1"/>
    <col min="21" max="21" width="8" style="112" customWidth="1"/>
    <col min="22" max="22" width="7.88671875" style="112" customWidth="1"/>
    <col min="23" max="16384" width="9" style="112"/>
  </cols>
  <sheetData>
    <row r="1" spans="1:41" s="127" customFormat="1" ht="19.5">
      <c r="A1" s="1173" t="s">
        <v>49</v>
      </c>
      <c r="B1" s="1173"/>
      <c r="C1" s="1173"/>
      <c r="D1" s="117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4"/>
      <c r="R1" s="863" t="s">
        <v>41</v>
      </c>
      <c r="S1" s="863"/>
      <c r="T1" s="165"/>
      <c r="U1" s="126"/>
      <c r="V1" s="126"/>
    </row>
    <row r="2" spans="1:41" s="127" customFormat="1" ht="15.75" customHeight="1">
      <c r="A2" s="1174" t="s">
        <v>487</v>
      </c>
      <c r="B2" s="1174"/>
      <c r="C2" s="1174"/>
      <c r="D2" s="1174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8"/>
      <c r="T2" s="128"/>
      <c r="U2" s="128"/>
      <c r="V2" s="128"/>
    </row>
    <row r="3" spans="1:41" s="127" customFormat="1" ht="15.75" customHeight="1">
      <c r="A3" s="228"/>
      <c r="B3" s="228"/>
      <c r="C3" s="228"/>
      <c r="D3" s="228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8"/>
      <c r="T3" s="128"/>
      <c r="U3" s="128"/>
      <c r="V3" s="128"/>
    </row>
    <row r="4" spans="1:41" s="127" customFormat="1" ht="18" customHeight="1">
      <c r="B4" s="52"/>
      <c r="C4" s="865" t="s">
        <v>188</v>
      </c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589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41" s="127" customFormat="1" ht="14.25" customHeight="1">
      <c r="B5" s="125"/>
      <c r="C5" s="866" t="s">
        <v>157</v>
      </c>
      <c r="D5" s="866"/>
      <c r="E5" s="866"/>
      <c r="F5" s="866"/>
      <c r="G5" s="866"/>
      <c r="H5" s="866"/>
      <c r="I5" s="866"/>
      <c r="J5" s="866"/>
      <c r="K5" s="866"/>
      <c r="L5" s="866"/>
      <c r="M5" s="866"/>
      <c r="N5" s="866"/>
      <c r="O5" s="866"/>
      <c r="P5" s="866"/>
      <c r="Q5" s="866"/>
      <c r="R5" s="866"/>
      <c r="S5" s="866"/>
      <c r="T5" s="866"/>
      <c r="U5" s="866"/>
      <c r="V5" s="590"/>
    </row>
    <row r="6" spans="1:41" s="127" customFormat="1" ht="15.75" customHeight="1">
      <c r="A6" s="129"/>
      <c r="B6" s="164"/>
      <c r="C6" s="130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864"/>
      <c r="Q6" s="864"/>
      <c r="R6" s="864"/>
      <c r="S6" s="822"/>
      <c r="T6" s="862" t="s">
        <v>40</v>
      </c>
      <c r="U6" s="862"/>
      <c r="V6" s="604"/>
    </row>
    <row r="7" spans="1:41" s="127" customFormat="1" ht="15.75" customHeight="1">
      <c r="A7" s="129"/>
      <c r="B7" s="164"/>
      <c r="C7" s="130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31"/>
      <c r="Q7" s="131"/>
      <c r="R7" s="131"/>
      <c r="S7" s="822"/>
      <c r="T7" s="604"/>
      <c r="U7" s="604"/>
      <c r="V7" s="604"/>
    </row>
    <row r="8" spans="1:41" s="127" customFormat="1" ht="15.75" customHeight="1">
      <c r="A8" s="850" t="s">
        <v>12</v>
      </c>
      <c r="B8" s="850" t="s">
        <v>50</v>
      </c>
      <c r="C8" s="1175" t="s">
        <v>158</v>
      </c>
      <c r="D8" s="1175" t="s">
        <v>190</v>
      </c>
      <c r="E8" s="111"/>
      <c r="F8" s="111"/>
      <c r="G8" s="1176" t="s">
        <v>203</v>
      </c>
      <c r="H8" s="1177"/>
      <c r="I8" s="1177"/>
      <c r="J8" s="1177"/>
      <c r="K8" s="1177"/>
      <c r="L8" s="1177"/>
      <c r="M8" s="1177"/>
      <c r="N8" s="1177"/>
      <c r="O8" s="1177"/>
      <c r="P8" s="1177"/>
      <c r="Q8" s="1177"/>
      <c r="R8" s="1177"/>
      <c r="S8" s="1178" t="s">
        <v>205</v>
      </c>
      <c r="T8" s="1179"/>
      <c r="U8" s="1180" t="s">
        <v>159</v>
      </c>
      <c r="V8" s="1180" t="s">
        <v>254</v>
      </c>
    </row>
    <row r="9" spans="1:41" s="127" customFormat="1" ht="15.75" customHeight="1">
      <c r="A9" s="850"/>
      <c r="B9" s="850"/>
      <c r="C9" s="1175"/>
      <c r="D9" s="1175"/>
      <c r="E9" s="111"/>
      <c r="F9" s="111"/>
      <c r="G9" s="1181" t="s">
        <v>211</v>
      </c>
      <c r="H9" s="1181" t="s">
        <v>212</v>
      </c>
      <c r="I9" s="1181" t="s">
        <v>28</v>
      </c>
      <c r="J9" s="1182" t="s">
        <v>31</v>
      </c>
      <c r="K9" s="1183"/>
      <c r="L9" s="1183"/>
      <c r="M9" s="1183"/>
      <c r="N9" s="1183"/>
      <c r="O9" s="1183"/>
      <c r="P9" s="1184"/>
      <c r="Q9" s="877" t="s">
        <v>14</v>
      </c>
      <c r="R9" s="1185" t="s">
        <v>201</v>
      </c>
      <c r="S9" s="1186"/>
      <c r="T9" s="1187"/>
      <c r="U9" s="1188"/>
      <c r="V9" s="1188"/>
    </row>
    <row r="10" spans="1:41" s="127" customFormat="1" ht="62.25" customHeight="1">
      <c r="A10" s="850"/>
      <c r="B10" s="850"/>
      <c r="C10" s="1175"/>
      <c r="D10" s="1175"/>
      <c r="E10" s="111"/>
      <c r="F10" s="111"/>
      <c r="G10" s="1189"/>
      <c r="H10" s="1189"/>
      <c r="I10" s="1189"/>
      <c r="J10" s="1190" t="s">
        <v>194</v>
      </c>
      <c r="K10" s="1190" t="s">
        <v>195</v>
      </c>
      <c r="L10" s="1190" t="s">
        <v>213</v>
      </c>
      <c r="M10" s="1190" t="s">
        <v>214</v>
      </c>
      <c r="N10" s="1191" t="s">
        <v>197</v>
      </c>
      <c r="O10" s="1191" t="s">
        <v>199</v>
      </c>
      <c r="P10" s="1191" t="s">
        <v>200</v>
      </c>
      <c r="Q10" s="874"/>
      <c r="R10" s="1191" t="s">
        <v>34</v>
      </c>
      <c r="S10" s="1192" t="s">
        <v>206</v>
      </c>
      <c r="T10" s="1192" t="s">
        <v>210</v>
      </c>
      <c r="U10" s="1188"/>
      <c r="V10" s="1188"/>
    </row>
    <row r="11" spans="1:41" s="127" customFormat="1" ht="38.25" customHeight="1">
      <c r="A11" s="823"/>
      <c r="B11" s="824"/>
      <c r="C11" s="825">
        <v>1</v>
      </c>
      <c r="D11" s="826">
        <v>2</v>
      </c>
      <c r="E11" s="123"/>
      <c r="F11" s="123"/>
      <c r="G11" s="188" t="s">
        <v>204</v>
      </c>
      <c r="H11" s="188">
        <v>4</v>
      </c>
      <c r="I11" s="188" t="s">
        <v>100</v>
      </c>
      <c r="J11" s="188">
        <v>6</v>
      </c>
      <c r="K11" s="188">
        <v>7</v>
      </c>
      <c r="L11" s="188">
        <v>8</v>
      </c>
      <c r="M11" s="188">
        <v>9</v>
      </c>
      <c r="N11" s="188">
        <v>10</v>
      </c>
      <c r="O11" s="188">
        <v>11</v>
      </c>
      <c r="P11" s="188">
        <v>12</v>
      </c>
      <c r="Q11" s="96" t="s">
        <v>32</v>
      </c>
      <c r="R11" s="188" t="s">
        <v>480</v>
      </c>
      <c r="S11" s="610" t="s">
        <v>483</v>
      </c>
      <c r="T11" s="610" t="s">
        <v>482</v>
      </c>
      <c r="U11" s="603" t="s">
        <v>481</v>
      </c>
      <c r="V11" s="616" t="s">
        <v>484</v>
      </c>
      <c r="W11" s="1238"/>
    </row>
    <row r="12" spans="1:41" s="116" customFormat="1" ht="18.95" customHeight="1">
      <c r="A12" s="45"/>
      <c r="B12" s="813" t="s">
        <v>13</v>
      </c>
      <c r="C12" s="813">
        <v>92</v>
      </c>
      <c r="D12" s="813">
        <v>83</v>
      </c>
      <c r="E12" s="813">
        <f t="shared" ref="E12:F12" si="0">E13+E23</f>
        <v>0</v>
      </c>
      <c r="F12" s="813">
        <f t="shared" si="0"/>
        <v>0</v>
      </c>
      <c r="G12" s="1125">
        <f>SUM(G13:G95)</f>
        <v>513.17875799999979</v>
      </c>
      <c r="H12" s="1125">
        <f>SUM(H13:H95)</f>
        <v>304.89799999999991</v>
      </c>
      <c r="I12" s="1125">
        <f>SUM(I13:I95)</f>
        <v>134.52112000000005</v>
      </c>
      <c r="J12" s="1125">
        <f>SUM(J13:J95)</f>
        <v>5.3999999999999986</v>
      </c>
      <c r="K12" s="1125">
        <f>SUM(K13:K95)</f>
        <v>3.5728</v>
      </c>
      <c r="L12" s="1125"/>
      <c r="M12" s="1125">
        <f>SUM(M13:M95)</f>
        <v>125.54831999999999</v>
      </c>
      <c r="N12" s="1125"/>
      <c r="O12" s="1125"/>
      <c r="P12" s="1125"/>
      <c r="Q12" s="1125"/>
      <c r="R12" s="1125">
        <f>SUM(R13:R95)</f>
        <v>73.759637999999981</v>
      </c>
      <c r="S12" s="1124">
        <f>SUM(S13:S95)</f>
        <v>1200838.2937199993</v>
      </c>
      <c r="T12" s="1124">
        <f>SUM(T13:T95)</f>
        <v>14410059.524640011</v>
      </c>
      <c r="U12" s="1124">
        <f>SUM(U13:U95)</f>
        <v>856153.58399999922</v>
      </c>
      <c r="V12" s="1124">
        <f>SUM(V13:V95)</f>
        <v>15266213.108640004</v>
      </c>
      <c r="W12" s="1239"/>
    </row>
    <row r="13" spans="1:41" s="117" customFormat="1" ht="18.95" customHeight="1">
      <c r="A13" s="187">
        <v>1</v>
      </c>
      <c r="B13" s="1210" t="s">
        <v>255</v>
      </c>
      <c r="C13" s="1232"/>
      <c r="D13" s="1232"/>
      <c r="E13" s="1232"/>
      <c r="F13" s="1232"/>
      <c r="G13" s="1233">
        <f>H13+I13+R13</f>
        <v>8.6327999999999996</v>
      </c>
      <c r="H13" s="638">
        <v>4.9800000000000004</v>
      </c>
      <c r="I13" s="1233">
        <f>J13+K13+M13</f>
        <v>2.4119999999999999</v>
      </c>
      <c r="J13" s="638">
        <v>0.3</v>
      </c>
      <c r="K13" s="1211"/>
      <c r="L13" s="1232"/>
      <c r="M13" s="1233">
        <f>(H13+J13+K13)*40%</f>
        <v>2.1120000000000001</v>
      </c>
      <c r="N13" s="1232"/>
      <c r="O13" s="1232"/>
      <c r="P13" s="1232"/>
      <c r="Q13" s="1232"/>
      <c r="R13" s="1233">
        <f>(H13+J13+K13)*23.5%</f>
        <v>1.2407999999999999</v>
      </c>
      <c r="S13" s="1232">
        <f>G13*2340</f>
        <v>20200.752</v>
      </c>
      <c r="T13" s="1232">
        <f>S13*12</f>
        <v>242409.024</v>
      </c>
      <c r="U13" s="1232">
        <f>(H13*2340*12)*10%</f>
        <v>13983.840000000004</v>
      </c>
      <c r="V13" s="1232">
        <f>T13+U13</f>
        <v>256392.864</v>
      </c>
      <c r="W13" s="1240"/>
    </row>
    <row r="14" spans="1:41" ht="18.95" customHeight="1">
      <c r="A14" s="176">
        <v>2</v>
      </c>
      <c r="B14" s="1210" t="s">
        <v>256</v>
      </c>
      <c r="C14" s="1212"/>
      <c r="D14" s="1213"/>
      <c r="E14" s="1214"/>
      <c r="F14" s="1214"/>
      <c r="G14" s="1233">
        <f t="shared" ref="G14:G77" si="1">H14+I14+R14</f>
        <v>8.6327999999999996</v>
      </c>
      <c r="H14" s="638">
        <v>4.9800000000000004</v>
      </c>
      <c r="I14" s="1233">
        <f t="shared" ref="I14:I77" si="2">J14+K14+M14</f>
        <v>2.4119999999999999</v>
      </c>
      <c r="J14" s="638">
        <v>0.3</v>
      </c>
      <c r="K14" s="1211"/>
      <c r="L14" s="1215"/>
      <c r="M14" s="1233">
        <f t="shared" ref="M14:M77" si="3">(H14+J14+K14)*40%</f>
        <v>2.1120000000000001</v>
      </c>
      <c r="N14" s="1215"/>
      <c r="O14" s="1216"/>
      <c r="P14" s="1215"/>
      <c r="Q14" s="1216"/>
      <c r="R14" s="1233">
        <f t="shared" ref="R14:R77" si="4">(H14+J14+K14)*23.5%</f>
        <v>1.2407999999999999</v>
      </c>
      <c r="S14" s="1232">
        <f>G14*2340</f>
        <v>20200.752</v>
      </c>
      <c r="T14" s="1232">
        <f t="shared" ref="T14:T77" si="5">S14*12</f>
        <v>242409.024</v>
      </c>
      <c r="U14" s="1232">
        <f>(H14*2340*12)*10%</f>
        <v>13983.840000000004</v>
      </c>
      <c r="V14" s="1232">
        <f t="shared" ref="V14:V77" si="6">T14+U14</f>
        <v>256392.864</v>
      </c>
      <c r="W14" s="1241"/>
    </row>
    <row r="15" spans="1:41" s="179" customFormat="1" ht="18.95" customHeight="1">
      <c r="A15" s="187">
        <v>3</v>
      </c>
      <c r="B15" s="1210" t="s">
        <v>257</v>
      </c>
      <c r="C15" s="1217"/>
      <c r="D15" s="1218"/>
      <c r="E15" s="1219"/>
      <c r="F15" s="1219"/>
      <c r="G15" s="1233">
        <f t="shared" si="1"/>
        <v>8.6327999999999996</v>
      </c>
      <c r="H15" s="638">
        <v>4.9800000000000004</v>
      </c>
      <c r="I15" s="1233">
        <f t="shared" si="2"/>
        <v>2.4119999999999999</v>
      </c>
      <c r="J15" s="638">
        <v>0.3</v>
      </c>
      <c r="K15" s="1211"/>
      <c r="L15" s="1220"/>
      <c r="M15" s="1233">
        <f t="shared" si="3"/>
        <v>2.1120000000000001</v>
      </c>
      <c r="N15" s="1221"/>
      <c r="O15" s="1222"/>
      <c r="P15" s="1221"/>
      <c r="Q15" s="1222"/>
      <c r="R15" s="1233">
        <f t="shared" si="4"/>
        <v>1.2407999999999999</v>
      </c>
      <c r="S15" s="1232">
        <f>G15*2340</f>
        <v>20200.752</v>
      </c>
      <c r="T15" s="1232">
        <f t="shared" si="5"/>
        <v>242409.024</v>
      </c>
      <c r="U15" s="1232">
        <f>(H15*2340*12)*10%</f>
        <v>13983.840000000004</v>
      </c>
      <c r="V15" s="1232">
        <f t="shared" si="6"/>
        <v>256392.864</v>
      </c>
      <c r="W15" s="1242"/>
    </row>
    <row r="16" spans="1:41" s="179" customFormat="1" ht="18.95" customHeight="1">
      <c r="A16" s="176">
        <v>4</v>
      </c>
      <c r="B16" s="1210" t="s">
        <v>258</v>
      </c>
      <c r="C16" s="1217"/>
      <c r="D16" s="1218"/>
      <c r="E16" s="1219"/>
      <c r="F16" s="1219"/>
      <c r="G16" s="1233">
        <f t="shared" si="1"/>
        <v>8.4693000000000005</v>
      </c>
      <c r="H16" s="638">
        <v>4.9800000000000004</v>
      </c>
      <c r="I16" s="1233">
        <f t="shared" si="2"/>
        <v>2.2720000000000007</v>
      </c>
      <c r="J16" s="638">
        <v>0.2</v>
      </c>
      <c r="K16" s="1211"/>
      <c r="L16" s="1221"/>
      <c r="M16" s="1233">
        <f t="shared" si="3"/>
        <v>2.0720000000000005</v>
      </c>
      <c r="N16" s="1221"/>
      <c r="O16" s="1222"/>
      <c r="P16" s="1221"/>
      <c r="Q16" s="1222"/>
      <c r="R16" s="1233">
        <f t="shared" si="4"/>
        <v>1.2173</v>
      </c>
      <c r="S16" s="1232">
        <f>G16*2340</f>
        <v>19818.162</v>
      </c>
      <c r="T16" s="1232">
        <f t="shared" si="5"/>
        <v>237817.94400000002</v>
      </c>
      <c r="U16" s="1232">
        <f>(H16*2340*12)*10%</f>
        <v>13983.840000000004</v>
      </c>
      <c r="V16" s="1232">
        <f t="shared" si="6"/>
        <v>251801.78400000001</v>
      </c>
      <c r="W16" s="1242"/>
    </row>
    <row r="17" spans="1:23" s="179" customFormat="1" ht="18.95" customHeight="1">
      <c r="A17" s="187">
        <v>5</v>
      </c>
      <c r="B17" s="1210" t="s">
        <v>259</v>
      </c>
      <c r="C17" s="1217"/>
      <c r="D17" s="1218"/>
      <c r="E17" s="1219"/>
      <c r="F17" s="1219"/>
      <c r="G17" s="1233">
        <f t="shared" si="1"/>
        <v>8.0932500000000012</v>
      </c>
      <c r="H17" s="638">
        <v>4.6500000000000004</v>
      </c>
      <c r="I17" s="1233">
        <f t="shared" si="2"/>
        <v>2.2800000000000002</v>
      </c>
      <c r="J17" s="638">
        <v>0.3</v>
      </c>
      <c r="K17" s="1211"/>
      <c r="L17" s="1221"/>
      <c r="M17" s="1233">
        <f t="shared" si="3"/>
        <v>1.9800000000000002</v>
      </c>
      <c r="N17" s="1221"/>
      <c r="O17" s="1222"/>
      <c r="P17" s="1221"/>
      <c r="Q17" s="1222"/>
      <c r="R17" s="1233">
        <f t="shared" si="4"/>
        <v>1.1632499999999999</v>
      </c>
      <c r="S17" s="1232">
        <f>G17*2340</f>
        <v>18938.205000000002</v>
      </c>
      <c r="T17" s="1232">
        <f t="shared" si="5"/>
        <v>227258.46000000002</v>
      </c>
      <c r="U17" s="1232">
        <f>(H17*2340*12)*10%</f>
        <v>13057.2</v>
      </c>
      <c r="V17" s="1232">
        <f t="shared" si="6"/>
        <v>240315.66000000003</v>
      </c>
      <c r="W17" s="1242"/>
    </row>
    <row r="18" spans="1:23" s="179" customFormat="1" ht="18.95" customHeight="1">
      <c r="A18" s="176">
        <v>6</v>
      </c>
      <c r="B18" s="1210" t="s">
        <v>260</v>
      </c>
      <c r="C18" s="1217"/>
      <c r="D18" s="1218"/>
      <c r="E18" s="1219"/>
      <c r="F18" s="1219"/>
      <c r="G18" s="1233">
        <f t="shared" si="1"/>
        <v>8.0932500000000012</v>
      </c>
      <c r="H18" s="638">
        <v>4.6500000000000004</v>
      </c>
      <c r="I18" s="1233">
        <f t="shared" si="2"/>
        <v>2.2800000000000002</v>
      </c>
      <c r="J18" s="638">
        <v>0.3</v>
      </c>
      <c r="K18" s="1211"/>
      <c r="L18" s="1221"/>
      <c r="M18" s="1233">
        <f t="shared" si="3"/>
        <v>1.9800000000000002</v>
      </c>
      <c r="N18" s="1221"/>
      <c r="O18" s="1222"/>
      <c r="P18" s="1221"/>
      <c r="Q18" s="1222"/>
      <c r="R18" s="1233">
        <f t="shared" si="4"/>
        <v>1.1632499999999999</v>
      </c>
      <c r="S18" s="1232">
        <f>G18*2340</f>
        <v>18938.205000000002</v>
      </c>
      <c r="T18" s="1232">
        <f t="shared" si="5"/>
        <v>227258.46000000002</v>
      </c>
      <c r="U18" s="1232">
        <f>(H18*2340*12)*10%</f>
        <v>13057.2</v>
      </c>
      <c r="V18" s="1232">
        <f t="shared" si="6"/>
        <v>240315.66000000003</v>
      </c>
      <c r="W18" s="1242"/>
    </row>
    <row r="19" spans="1:23" s="179" customFormat="1" ht="18.95" customHeight="1">
      <c r="A19" s="187">
        <v>7</v>
      </c>
      <c r="B19" s="1210" t="s">
        <v>261</v>
      </c>
      <c r="C19" s="1217"/>
      <c r="D19" s="1218"/>
      <c r="E19" s="1219"/>
      <c r="F19" s="1219"/>
      <c r="G19" s="1233">
        <f t="shared" si="1"/>
        <v>8.0932500000000012</v>
      </c>
      <c r="H19" s="638">
        <v>4.6500000000000004</v>
      </c>
      <c r="I19" s="1233">
        <f t="shared" si="2"/>
        <v>2.2800000000000002</v>
      </c>
      <c r="J19" s="638">
        <v>0.3</v>
      </c>
      <c r="K19" s="1211"/>
      <c r="L19" s="1221"/>
      <c r="M19" s="1233">
        <f t="shared" si="3"/>
        <v>1.9800000000000002</v>
      </c>
      <c r="N19" s="1221"/>
      <c r="O19" s="1222"/>
      <c r="P19" s="1221"/>
      <c r="Q19" s="1222"/>
      <c r="R19" s="1233">
        <f t="shared" si="4"/>
        <v>1.1632499999999999</v>
      </c>
      <c r="S19" s="1232">
        <f>G19*2340</f>
        <v>18938.205000000002</v>
      </c>
      <c r="T19" s="1232">
        <f t="shared" si="5"/>
        <v>227258.46000000002</v>
      </c>
      <c r="U19" s="1232">
        <f>(H19*2340*12)*10%</f>
        <v>13057.2</v>
      </c>
      <c r="V19" s="1232">
        <f t="shared" si="6"/>
        <v>240315.66000000003</v>
      </c>
      <c r="W19" s="1242"/>
    </row>
    <row r="20" spans="1:23" s="179" customFormat="1" ht="18.95" customHeight="1">
      <c r="A20" s="176">
        <v>8</v>
      </c>
      <c r="B20" s="1210" t="s">
        <v>262</v>
      </c>
      <c r="C20" s="1217"/>
      <c r="D20" s="1218"/>
      <c r="E20" s="1219"/>
      <c r="F20" s="1219"/>
      <c r="G20" s="1233">
        <f t="shared" si="1"/>
        <v>7.6027500000000003</v>
      </c>
      <c r="H20" s="638">
        <v>4.6500000000000004</v>
      </c>
      <c r="I20" s="1233">
        <f t="shared" si="2"/>
        <v>1.8600000000000003</v>
      </c>
      <c r="J20" s="638"/>
      <c r="K20" s="1211"/>
      <c r="L20" s="1221"/>
      <c r="M20" s="1233">
        <f t="shared" si="3"/>
        <v>1.8600000000000003</v>
      </c>
      <c r="N20" s="1221"/>
      <c r="O20" s="1222"/>
      <c r="P20" s="1221"/>
      <c r="Q20" s="1222"/>
      <c r="R20" s="1233">
        <f t="shared" si="4"/>
        <v>1.0927500000000001</v>
      </c>
      <c r="S20" s="1232">
        <f>G20*2340</f>
        <v>17790.435000000001</v>
      </c>
      <c r="T20" s="1232">
        <f t="shared" si="5"/>
        <v>213485.22000000003</v>
      </c>
      <c r="U20" s="1232">
        <f>(H20*2340*12)*10%</f>
        <v>13057.2</v>
      </c>
      <c r="V20" s="1232">
        <f t="shared" si="6"/>
        <v>226542.42000000004</v>
      </c>
      <c r="W20" s="1242"/>
    </row>
    <row r="21" spans="1:23" s="179" customFormat="1" ht="18.95" customHeight="1">
      <c r="A21" s="187">
        <v>9</v>
      </c>
      <c r="B21" s="1210" t="s">
        <v>263</v>
      </c>
      <c r="C21" s="1217"/>
      <c r="D21" s="1218"/>
      <c r="E21" s="1219"/>
      <c r="F21" s="1219"/>
      <c r="G21" s="1233">
        <f t="shared" si="1"/>
        <v>7.4882999999999997</v>
      </c>
      <c r="H21" s="638">
        <v>4.58</v>
      </c>
      <c r="I21" s="1233">
        <f t="shared" si="2"/>
        <v>1.8320000000000001</v>
      </c>
      <c r="J21" s="638"/>
      <c r="K21" s="1211"/>
      <c r="L21" s="1221"/>
      <c r="M21" s="1233">
        <f t="shared" si="3"/>
        <v>1.8320000000000001</v>
      </c>
      <c r="N21" s="1221"/>
      <c r="O21" s="1222"/>
      <c r="P21" s="1221"/>
      <c r="Q21" s="1222"/>
      <c r="R21" s="1233">
        <f t="shared" si="4"/>
        <v>1.0763</v>
      </c>
      <c r="S21" s="1232">
        <f>G21*2340</f>
        <v>17522.621999999999</v>
      </c>
      <c r="T21" s="1232">
        <f t="shared" si="5"/>
        <v>210271.46399999998</v>
      </c>
      <c r="U21" s="1232">
        <f>(H21*2340*12)*10%</f>
        <v>12860.640000000001</v>
      </c>
      <c r="V21" s="1232">
        <f t="shared" si="6"/>
        <v>223132.10399999999</v>
      </c>
      <c r="W21" s="1242"/>
    </row>
    <row r="22" spans="1:23" s="179" customFormat="1" ht="18.95" customHeight="1">
      <c r="A22" s="176">
        <v>10</v>
      </c>
      <c r="B22" s="1210" t="s">
        <v>264</v>
      </c>
      <c r="C22" s="1217"/>
      <c r="D22" s="1218"/>
      <c r="E22" s="1219"/>
      <c r="F22" s="1219"/>
      <c r="G22" s="1233">
        <f t="shared" si="1"/>
        <v>7.4882999999999997</v>
      </c>
      <c r="H22" s="638">
        <v>4.58</v>
      </c>
      <c r="I22" s="1233">
        <f t="shared" si="2"/>
        <v>1.8320000000000001</v>
      </c>
      <c r="J22" s="638"/>
      <c r="K22" s="1211"/>
      <c r="L22" s="1221"/>
      <c r="M22" s="1233">
        <f t="shared" si="3"/>
        <v>1.8320000000000001</v>
      </c>
      <c r="N22" s="1221"/>
      <c r="O22" s="1222"/>
      <c r="P22" s="1221"/>
      <c r="Q22" s="1222"/>
      <c r="R22" s="1233">
        <f t="shared" si="4"/>
        <v>1.0763</v>
      </c>
      <c r="S22" s="1232">
        <f>G22*2340</f>
        <v>17522.621999999999</v>
      </c>
      <c r="T22" s="1232">
        <f t="shared" si="5"/>
        <v>210271.46399999998</v>
      </c>
      <c r="U22" s="1232">
        <f>(H22*2340*12)*10%</f>
        <v>12860.640000000001</v>
      </c>
      <c r="V22" s="1232">
        <f t="shared" si="6"/>
        <v>223132.10399999999</v>
      </c>
      <c r="W22" s="1242"/>
    </row>
    <row r="23" spans="1:23" s="205" customFormat="1" ht="18.95" customHeight="1">
      <c r="A23" s="187">
        <v>11</v>
      </c>
      <c r="B23" s="1210" t="s">
        <v>265</v>
      </c>
      <c r="C23" s="1234"/>
      <c r="D23" s="1235"/>
      <c r="E23" s="1235"/>
      <c r="F23" s="1235"/>
      <c r="G23" s="1233">
        <f t="shared" si="1"/>
        <v>7.9787999999999997</v>
      </c>
      <c r="H23" s="638">
        <v>4.58</v>
      </c>
      <c r="I23" s="1233">
        <f t="shared" si="2"/>
        <v>2.2519999999999998</v>
      </c>
      <c r="J23" s="638">
        <v>0.3</v>
      </c>
      <c r="K23" s="1211"/>
      <c r="L23" s="1235"/>
      <c r="M23" s="1233">
        <f t="shared" si="3"/>
        <v>1.952</v>
      </c>
      <c r="N23" s="1235"/>
      <c r="O23" s="1235"/>
      <c r="P23" s="1235"/>
      <c r="Q23" s="1235"/>
      <c r="R23" s="1233">
        <f t="shared" si="4"/>
        <v>1.1467999999999998</v>
      </c>
      <c r="S23" s="1232">
        <f>G23*2340</f>
        <v>18670.392</v>
      </c>
      <c r="T23" s="1232">
        <f t="shared" si="5"/>
        <v>224044.704</v>
      </c>
      <c r="U23" s="1232">
        <f>(H23*2340*12)*10%</f>
        <v>12860.640000000001</v>
      </c>
      <c r="V23" s="1232">
        <f t="shared" si="6"/>
        <v>236905.34400000001</v>
      </c>
      <c r="W23" s="1243"/>
    </row>
    <row r="24" spans="1:23" s="179" customFormat="1" ht="18.95" customHeight="1">
      <c r="A24" s="176">
        <v>12</v>
      </c>
      <c r="B24" s="1210" t="s">
        <v>266</v>
      </c>
      <c r="C24" s="1217"/>
      <c r="D24" s="1218"/>
      <c r="E24" s="1219"/>
      <c r="F24" s="1219"/>
      <c r="G24" s="1233">
        <f t="shared" si="1"/>
        <v>7.4882999999999997</v>
      </c>
      <c r="H24" s="638">
        <v>4.58</v>
      </c>
      <c r="I24" s="1233">
        <f t="shared" si="2"/>
        <v>1.8320000000000001</v>
      </c>
      <c r="J24" s="638"/>
      <c r="K24" s="1211"/>
      <c r="L24" s="1221"/>
      <c r="M24" s="1233">
        <f t="shared" si="3"/>
        <v>1.8320000000000001</v>
      </c>
      <c r="N24" s="1221"/>
      <c r="O24" s="1222"/>
      <c r="P24" s="1221"/>
      <c r="Q24" s="1222"/>
      <c r="R24" s="1233">
        <f t="shared" si="4"/>
        <v>1.0763</v>
      </c>
      <c r="S24" s="1232">
        <f>G24*2340</f>
        <v>17522.621999999999</v>
      </c>
      <c r="T24" s="1232">
        <f t="shared" si="5"/>
        <v>210271.46399999998</v>
      </c>
      <c r="U24" s="1232">
        <f>(H24*2340*12)*10%</f>
        <v>12860.640000000001</v>
      </c>
      <c r="V24" s="1232">
        <f t="shared" si="6"/>
        <v>223132.10399999999</v>
      </c>
      <c r="W24" s="1242"/>
    </row>
    <row r="25" spans="1:23" s="179" customFormat="1" ht="18.95" customHeight="1">
      <c r="A25" s="187">
        <v>13</v>
      </c>
      <c r="B25" s="1210" t="s">
        <v>267</v>
      </c>
      <c r="C25" s="1217"/>
      <c r="D25" s="1218"/>
      <c r="E25" s="1219"/>
      <c r="F25" s="1219"/>
      <c r="G25" s="1233">
        <f t="shared" si="1"/>
        <v>7.4882999999999997</v>
      </c>
      <c r="H25" s="638">
        <v>4.58</v>
      </c>
      <c r="I25" s="1233">
        <f t="shared" si="2"/>
        <v>1.8320000000000001</v>
      </c>
      <c r="J25" s="638"/>
      <c r="K25" s="1211"/>
      <c r="L25" s="1220"/>
      <c r="M25" s="1233">
        <f t="shared" si="3"/>
        <v>1.8320000000000001</v>
      </c>
      <c r="N25" s="1221"/>
      <c r="O25" s="1222"/>
      <c r="P25" s="1221"/>
      <c r="Q25" s="1222"/>
      <c r="R25" s="1233">
        <f t="shared" si="4"/>
        <v>1.0763</v>
      </c>
      <c r="S25" s="1232">
        <f>G25*2340</f>
        <v>17522.621999999999</v>
      </c>
      <c r="T25" s="1232">
        <f t="shared" si="5"/>
        <v>210271.46399999998</v>
      </c>
      <c r="U25" s="1232">
        <f>(H25*2340*12)*10%</f>
        <v>12860.640000000001</v>
      </c>
      <c r="V25" s="1232">
        <f t="shared" si="6"/>
        <v>223132.10399999999</v>
      </c>
      <c r="W25" s="1242"/>
    </row>
    <row r="26" spans="1:23" s="179" customFormat="1" ht="18.95" customHeight="1">
      <c r="A26" s="176">
        <v>14</v>
      </c>
      <c r="B26" s="1210" t="s">
        <v>268</v>
      </c>
      <c r="C26" s="1217"/>
      <c r="D26" s="1218"/>
      <c r="E26" s="1219"/>
      <c r="F26" s="1219"/>
      <c r="G26" s="1233">
        <f t="shared" si="1"/>
        <v>7.4882999999999997</v>
      </c>
      <c r="H26" s="638">
        <v>4.58</v>
      </c>
      <c r="I26" s="1233">
        <f t="shared" si="2"/>
        <v>1.8320000000000001</v>
      </c>
      <c r="J26" s="638"/>
      <c r="K26" s="1211"/>
      <c r="L26" s="1221"/>
      <c r="M26" s="1233">
        <f t="shared" si="3"/>
        <v>1.8320000000000001</v>
      </c>
      <c r="N26" s="1221"/>
      <c r="O26" s="1222"/>
      <c r="P26" s="1221"/>
      <c r="Q26" s="1222"/>
      <c r="R26" s="1233">
        <f t="shared" si="4"/>
        <v>1.0763</v>
      </c>
      <c r="S26" s="1232">
        <f>G26*2340</f>
        <v>17522.621999999999</v>
      </c>
      <c r="T26" s="1232">
        <f t="shared" si="5"/>
        <v>210271.46399999998</v>
      </c>
      <c r="U26" s="1232">
        <f>(H26*2340*12)*10%</f>
        <v>12860.640000000001</v>
      </c>
      <c r="V26" s="1232">
        <f t="shared" si="6"/>
        <v>223132.10399999999</v>
      </c>
      <c r="W26" s="1242"/>
    </row>
    <row r="27" spans="1:23" s="179" customFormat="1" ht="18.95" customHeight="1">
      <c r="A27" s="187">
        <v>15</v>
      </c>
      <c r="B27" s="1210" t="s">
        <v>269</v>
      </c>
      <c r="C27" s="1217"/>
      <c r="D27" s="1218"/>
      <c r="E27" s="1219"/>
      <c r="F27" s="1219"/>
      <c r="G27" s="1233">
        <f t="shared" si="1"/>
        <v>7.4882999999999997</v>
      </c>
      <c r="H27" s="638">
        <v>4.58</v>
      </c>
      <c r="I27" s="1233">
        <f t="shared" si="2"/>
        <v>1.8320000000000001</v>
      </c>
      <c r="J27" s="638"/>
      <c r="K27" s="1211"/>
      <c r="L27" s="1221"/>
      <c r="M27" s="1233">
        <f t="shared" si="3"/>
        <v>1.8320000000000001</v>
      </c>
      <c r="N27" s="1221"/>
      <c r="O27" s="1222"/>
      <c r="P27" s="1221"/>
      <c r="Q27" s="1222"/>
      <c r="R27" s="1233">
        <f t="shared" si="4"/>
        <v>1.0763</v>
      </c>
      <c r="S27" s="1232">
        <f>G27*2340</f>
        <v>17522.621999999999</v>
      </c>
      <c r="T27" s="1232">
        <f t="shared" si="5"/>
        <v>210271.46399999998</v>
      </c>
      <c r="U27" s="1232">
        <f>(H27*2340*12)*10%</f>
        <v>12860.640000000001</v>
      </c>
      <c r="V27" s="1232">
        <f t="shared" si="6"/>
        <v>223132.10399999999</v>
      </c>
      <c r="W27" s="1242"/>
    </row>
    <row r="28" spans="1:23" s="179" customFormat="1" ht="18.95" customHeight="1">
      <c r="A28" s="176">
        <v>16</v>
      </c>
      <c r="B28" s="1210" t="s">
        <v>270</v>
      </c>
      <c r="C28" s="1217"/>
      <c r="D28" s="1218"/>
      <c r="E28" s="1219"/>
      <c r="F28" s="1219"/>
      <c r="G28" s="1233">
        <f t="shared" si="1"/>
        <v>7.5537000000000001</v>
      </c>
      <c r="H28" s="638">
        <v>4.32</v>
      </c>
      <c r="I28" s="1233">
        <f t="shared" si="2"/>
        <v>2.1480000000000001</v>
      </c>
      <c r="J28" s="638">
        <v>0.3</v>
      </c>
      <c r="K28" s="1211"/>
      <c r="L28" s="1221"/>
      <c r="M28" s="1233">
        <f t="shared" si="3"/>
        <v>1.8480000000000001</v>
      </c>
      <c r="N28" s="1221"/>
      <c r="O28" s="1222"/>
      <c r="P28" s="1221"/>
      <c r="Q28" s="1222"/>
      <c r="R28" s="1233">
        <f t="shared" si="4"/>
        <v>1.0856999999999999</v>
      </c>
      <c r="S28" s="1232">
        <f>G28*2340</f>
        <v>17675.657999999999</v>
      </c>
      <c r="T28" s="1232">
        <f t="shared" si="5"/>
        <v>212107.89600000001</v>
      </c>
      <c r="U28" s="1232">
        <f>(H28*2340*12)*10%</f>
        <v>12130.560000000001</v>
      </c>
      <c r="V28" s="1232">
        <f t="shared" si="6"/>
        <v>224238.45600000001</v>
      </c>
      <c r="W28" s="1242"/>
    </row>
    <row r="29" spans="1:23" s="179" customFormat="1" ht="18.95" customHeight="1">
      <c r="A29" s="187">
        <v>17</v>
      </c>
      <c r="B29" s="1210" t="s">
        <v>271</v>
      </c>
      <c r="C29" s="1217"/>
      <c r="D29" s="1218"/>
      <c r="E29" s="1219"/>
      <c r="F29" s="1219"/>
      <c r="G29" s="1233">
        <f t="shared" si="1"/>
        <v>7.5537000000000001</v>
      </c>
      <c r="H29" s="638">
        <v>4.32</v>
      </c>
      <c r="I29" s="1233">
        <f t="shared" si="2"/>
        <v>2.1480000000000001</v>
      </c>
      <c r="J29" s="638">
        <v>0.3</v>
      </c>
      <c r="K29" s="1211"/>
      <c r="L29" s="1221"/>
      <c r="M29" s="1233">
        <f t="shared" si="3"/>
        <v>1.8480000000000001</v>
      </c>
      <c r="N29" s="1221"/>
      <c r="O29" s="1222"/>
      <c r="P29" s="1221"/>
      <c r="Q29" s="1222"/>
      <c r="R29" s="1233">
        <f t="shared" si="4"/>
        <v>1.0856999999999999</v>
      </c>
      <c r="S29" s="1232">
        <f>G29*2340</f>
        <v>17675.657999999999</v>
      </c>
      <c r="T29" s="1232">
        <f t="shared" si="5"/>
        <v>212107.89600000001</v>
      </c>
      <c r="U29" s="1232">
        <f>(H29*2340*12)*10%</f>
        <v>12130.560000000001</v>
      </c>
      <c r="V29" s="1232">
        <f t="shared" si="6"/>
        <v>224238.45600000001</v>
      </c>
      <c r="W29" s="1242"/>
    </row>
    <row r="30" spans="1:23" s="179" customFormat="1" ht="18.95" customHeight="1">
      <c r="A30" s="176">
        <v>18</v>
      </c>
      <c r="B30" s="1210" t="s">
        <v>272</v>
      </c>
      <c r="C30" s="1217"/>
      <c r="D30" s="1218"/>
      <c r="E30" s="1219"/>
      <c r="F30" s="1219"/>
      <c r="G30" s="1233">
        <f t="shared" si="1"/>
        <v>7.5537000000000001</v>
      </c>
      <c r="H30" s="638">
        <v>4.32</v>
      </c>
      <c r="I30" s="1233">
        <f t="shared" si="2"/>
        <v>2.1480000000000001</v>
      </c>
      <c r="J30" s="638">
        <v>0.3</v>
      </c>
      <c r="K30" s="1211"/>
      <c r="L30" s="1221"/>
      <c r="M30" s="1233">
        <f t="shared" si="3"/>
        <v>1.8480000000000001</v>
      </c>
      <c r="N30" s="1221"/>
      <c r="O30" s="1222"/>
      <c r="P30" s="1221"/>
      <c r="Q30" s="1222"/>
      <c r="R30" s="1233">
        <f t="shared" si="4"/>
        <v>1.0856999999999999</v>
      </c>
      <c r="S30" s="1232">
        <f>G30*2340</f>
        <v>17675.657999999999</v>
      </c>
      <c r="T30" s="1232">
        <f t="shared" si="5"/>
        <v>212107.89600000001</v>
      </c>
      <c r="U30" s="1232">
        <f>(H30*2340*12)*10%</f>
        <v>12130.560000000001</v>
      </c>
      <c r="V30" s="1232">
        <f t="shared" si="6"/>
        <v>224238.45600000001</v>
      </c>
      <c r="W30" s="1242"/>
    </row>
    <row r="31" spans="1:23" s="179" customFormat="1" ht="18.95" customHeight="1">
      <c r="A31" s="187">
        <v>19</v>
      </c>
      <c r="B31" s="1210" t="s">
        <v>273</v>
      </c>
      <c r="C31" s="1217"/>
      <c r="D31" s="1218"/>
      <c r="E31" s="1219"/>
      <c r="F31" s="1219"/>
      <c r="G31" s="1233">
        <f t="shared" si="1"/>
        <v>7.5537000000000001</v>
      </c>
      <c r="H31" s="638">
        <v>4.32</v>
      </c>
      <c r="I31" s="1233">
        <f t="shared" si="2"/>
        <v>2.1480000000000001</v>
      </c>
      <c r="J31" s="638">
        <v>0.3</v>
      </c>
      <c r="K31" s="1211"/>
      <c r="L31" s="1221"/>
      <c r="M31" s="1233">
        <f t="shared" si="3"/>
        <v>1.8480000000000001</v>
      </c>
      <c r="N31" s="1221"/>
      <c r="O31" s="1222"/>
      <c r="P31" s="1221"/>
      <c r="Q31" s="1222"/>
      <c r="R31" s="1233">
        <f t="shared" si="4"/>
        <v>1.0856999999999999</v>
      </c>
      <c r="S31" s="1232">
        <f>G31*2340</f>
        <v>17675.657999999999</v>
      </c>
      <c r="T31" s="1232">
        <f t="shared" si="5"/>
        <v>212107.89600000001</v>
      </c>
      <c r="U31" s="1232">
        <f>(H31*2340*12)*10%</f>
        <v>12130.560000000001</v>
      </c>
      <c r="V31" s="1232">
        <f t="shared" si="6"/>
        <v>224238.45600000001</v>
      </c>
      <c r="W31" s="1242"/>
    </row>
    <row r="32" spans="1:23" s="179" customFormat="1" ht="18.95" customHeight="1">
      <c r="A32" s="176">
        <v>20</v>
      </c>
      <c r="B32" s="1210" t="s">
        <v>274</v>
      </c>
      <c r="C32" s="1217"/>
      <c r="D32" s="1218"/>
      <c r="E32" s="1219"/>
      <c r="F32" s="1219"/>
      <c r="G32" s="1233">
        <f t="shared" si="1"/>
        <v>6.9814499999999997</v>
      </c>
      <c r="H32" s="638">
        <v>4.2699999999999996</v>
      </c>
      <c r="I32" s="1233">
        <f t="shared" si="2"/>
        <v>1.708</v>
      </c>
      <c r="J32" s="638">
        <v>0</v>
      </c>
      <c r="K32" s="1211"/>
      <c r="L32" s="1221"/>
      <c r="M32" s="1233">
        <f t="shared" si="3"/>
        <v>1.708</v>
      </c>
      <c r="N32" s="1221"/>
      <c r="O32" s="1222"/>
      <c r="P32" s="1221"/>
      <c r="Q32" s="1222"/>
      <c r="R32" s="1233">
        <f t="shared" si="4"/>
        <v>1.00345</v>
      </c>
      <c r="S32" s="1232">
        <f>G32*2340</f>
        <v>16336.592999999999</v>
      </c>
      <c r="T32" s="1232">
        <f t="shared" si="5"/>
        <v>196039.11599999998</v>
      </c>
      <c r="U32" s="1232">
        <f>(H32*2340*12)*10%</f>
        <v>11990.16</v>
      </c>
      <c r="V32" s="1232">
        <f t="shared" si="6"/>
        <v>208029.27599999998</v>
      </c>
      <c r="W32" s="1242"/>
    </row>
    <row r="33" spans="1:23" s="179" customFormat="1" ht="18.95" customHeight="1">
      <c r="A33" s="187">
        <v>21</v>
      </c>
      <c r="B33" s="1223" t="s">
        <v>275</v>
      </c>
      <c r="C33" s="1224"/>
      <c r="D33" s="1225"/>
      <c r="E33" s="1226"/>
      <c r="F33" s="1226"/>
      <c r="G33" s="1233">
        <f t="shared" si="1"/>
        <v>6.9814499999999997</v>
      </c>
      <c r="H33" s="1227">
        <v>4.2699999999999996</v>
      </c>
      <c r="I33" s="1233">
        <f t="shared" si="2"/>
        <v>1.708</v>
      </c>
      <c r="J33" s="1227">
        <v>0</v>
      </c>
      <c r="K33" s="1228"/>
      <c r="L33" s="1229"/>
      <c r="M33" s="1233">
        <f t="shared" si="3"/>
        <v>1.708</v>
      </c>
      <c r="N33" s="1229"/>
      <c r="O33" s="1230"/>
      <c r="P33" s="1229"/>
      <c r="Q33" s="1230"/>
      <c r="R33" s="1233">
        <f t="shared" si="4"/>
        <v>1.00345</v>
      </c>
      <c r="S33" s="1232">
        <f>G33*2340</f>
        <v>16336.592999999999</v>
      </c>
      <c r="T33" s="1232">
        <f t="shared" si="5"/>
        <v>196039.11599999998</v>
      </c>
      <c r="U33" s="1232">
        <f>(H33*2340*12)*10%</f>
        <v>11990.16</v>
      </c>
      <c r="V33" s="1232">
        <f t="shared" si="6"/>
        <v>208029.27599999998</v>
      </c>
      <c r="W33" s="1242"/>
    </row>
    <row r="34" spans="1:23" ht="15">
      <c r="A34" s="176">
        <v>22</v>
      </c>
      <c r="B34" s="1223" t="s">
        <v>276</v>
      </c>
      <c r="C34" s="639"/>
      <c r="D34" s="639"/>
      <c r="E34" s="639"/>
      <c r="F34" s="639"/>
      <c r="G34" s="1233">
        <f t="shared" si="1"/>
        <v>7.2355289999999997</v>
      </c>
      <c r="H34" s="638">
        <v>4.0599999999999996</v>
      </c>
      <c r="I34" s="1233">
        <f t="shared" si="2"/>
        <v>2.1355599999999999</v>
      </c>
      <c r="J34" s="638">
        <v>0</v>
      </c>
      <c r="K34" s="1231">
        <f>4.06*9%</f>
        <v>0.36539999999999995</v>
      </c>
      <c r="L34" s="639"/>
      <c r="M34" s="1233">
        <f t="shared" si="3"/>
        <v>1.77016</v>
      </c>
      <c r="N34" s="639"/>
      <c r="O34" s="639"/>
      <c r="P34" s="639"/>
      <c r="Q34" s="639"/>
      <c r="R34" s="1233">
        <f t="shared" si="4"/>
        <v>1.0399689999999999</v>
      </c>
      <c r="S34" s="1232">
        <f>G34*2340</f>
        <v>16931.137859999999</v>
      </c>
      <c r="T34" s="1232">
        <f t="shared" si="5"/>
        <v>203173.65431999997</v>
      </c>
      <c r="U34" s="1232">
        <f>(H34*2340*12)*10%</f>
        <v>11400.48</v>
      </c>
      <c r="V34" s="1232">
        <f t="shared" si="6"/>
        <v>214574.13431999998</v>
      </c>
      <c r="W34" s="1241"/>
    </row>
    <row r="35" spans="1:23" ht="15">
      <c r="A35" s="187">
        <v>23</v>
      </c>
      <c r="B35" s="1223" t="s">
        <v>277</v>
      </c>
      <c r="C35" s="639"/>
      <c r="D35" s="639"/>
      <c r="E35" s="639"/>
      <c r="F35" s="639"/>
      <c r="G35" s="1233">
        <f t="shared" si="1"/>
        <v>7.1027670000000001</v>
      </c>
      <c r="H35" s="638">
        <v>4.0599999999999996</v>
      </c>
      <c r="I35" s="1233">
        <f t="shared" si="2"/>
        <v>2.0218800000000003</v>
      </c>
      <c r="J35" s="638">
        <v>0</v>
      </c>
      <c r="K35" s="1231">
        <f>4.06*7%</f>
        <v>0.28420000000000001</v>
      </c>
      <c r="L35" s="639"/>
      <c r="M35" s="1233">
        <f t="shared" si="3"/>
        <v>1.7376800000000001</v>
      </c>
      <c r="N35" s="639"/>
      <c r="O35" s="639"/>
      <c r="P35" s="639"/>
      <c r="Q35" s="639"/>
      <c r="R35" s="1233">
        <f t="shared" si="4"/>
        <v>1.0208869999999999</v>
      </c>
      <c r="S35" s="1232">
        <f>G35*2340</f>
        <v>16620.47478</v>
      </c>
      <c r="T35" s="1232">
        <f t="shared" si="5"/>
        <v>199445.69735999999</v>
      </c>
      <c r="U35" s="1232">
        <f>(H35*2340*12)*10%</f>
        <v>11400.48</v>
      </c>
      <c r="V35" s="1232">
        <f t="shared" si="6"/>
        <v>210846.17736</v>
      </c>
      <c r="W35" s="1241"/>
    </row>
    <row r="36" spans="1:23" ht="15">
      <c r="A36" s="176">
        <v>24</v>
      </c>
      <c r="B36" s="1223" t="s">
        <v>278</v>
      </c>
      <c r="C36" s="639"/>
      <c r="D36" s="639"/>
      <c r="E36" s="639"/>
      <c r="F36" s="639"/>
      <c r="G36" s="1233">
        <f t="shared" si="1"/>
        <v>6.9700049999999996</v>
      </c>
      <c r="H36" s="638">
        <v>4.0599999999999996</v>
      </c>
      <c r="I36" s="1233">
        <f t="shared" si="2"/>
        <v>1.9082000000000001</v>
      </c>
      <c r="J36" s="638">
        <v>0</v>
      </c>
      <c r="K36" s="1231">
        <f>4.06*5%</f>
        <v>0.20299999999999999</v>
      </c>
      <c r="L36" s="639"/>
      <c r="M36" s="1233">
        <f t="shared" si="3"/>
        <v>1.7052</v>
      </c>
      <c r="N36" s="639"/>
      <c r="O36" s="639"/>
      <c r="P36" s="639"/>
      <c r="Q36" s="639"/>
      <c r="R36" s="1233">
        <f t="shared" si="4"/>
        <v>1.0018049999999998</v>
      </c>
      <c r="S36" s="1232">
        <f>G36*2340</f>
        <v>16309.811699999998</v>
      </c>
      <c r="T36" s="1232">
        <f t="shared" si="5"/>
        <v>195717.74039999998</v>
      </c>
      <c r="U36" s="1232">
        <f>(H36*2340*12)*10%</f>
        <v>11400.48</v>
      </c>
      <c r="V36" s="1232">
        <f t="shared" si="6"/>
        <v>207118.22039999999</v>
      </c>
      <c r="W36" s="1241"/>
    </row>
    <row r="37" spans="1:23" ht="15">
      <c r="A37" s="187">
        <v>25</v>
      </c>
      <c r="B37" s="1223" t="s">
        <v>279</v>
      </c>
      <c r="C37" s="639"/>
      <c r="D37" s="639"/>
      <c r="E37" s="639"/>
      <c r="F37" s="639"/>
      <c r="G37" s="1233">
        <f t="shared" si="1"/>
        <v>7.1027670000000001</v>
      </c>
      <c r="H37" s="638">
        <v>4.0599999999999996</v>
      </c>
      <c r="I37" s="1233">
        <f t="shared" si="2"/>
        <v>2.0218800000000003</v>
      </c>
      <c r="J37" s="638">
        <v>0</v>
      </c>
      <c r="K37" s="1231">
        <f>4.06*7%</f>
        <v>0.28420000000000001</v>
      </c>
      <c r="L37" s="639"/>
      <c r="M37" s="1233">
        <f t="shared" si="3"/>
        <v>1.7376800000000001</v>
      </c>
      <c r="N37" s="639"/>
      <c r="O37" s="639"/>
      <c r="P37" s="639"/>
      <c r="Q37" s="639"/>
      <c r="R37" s="1233">
        <f t="shared" si="4"/>
        <v>1.0208869999999999</v>
      </c>
      <c r="S37" s="1232">
        <f>G37*2340</f>
        <v>16620.47478</v>
      </c>
      <c r="T37" s="1232">
        <f t="shared" si="5"/>
        <v>199445.69735999999</v>
      </c>
      <c r="U37" s="1232">
        <f>(H37*2340*12)*10%</f>
        <v>11400.48</v>
      </c>
      <c r="V37" s="1232">
        <f t="shared" si="6"/>
        <v>210846.17736</v>
      </c>
      <c r="W37" s="1241"/>
    </row>
    <row r="38" spans="1:23" ht="15">
      <c r="A38" s="176">
        <v>26</v>
      </c>
      <c r="B38" s="1223" t="s">
        <v>280</v>
      </c>
      <c r="C38" s="639"/>
      <c r="D38" s="639"/>
      <c r="E38" s="639"/>
      <c r="F38" s="639"/>
      <c r="G38" s="1233">
        <f t="shared" si="1"/>
        <v>7.3019099999999995</v>
      </c>
      <c r="H38" s="638">
        <v>4.0599999999999996</v>
      </c>
      <c r="I38" s="1233">
        <f t="shared" si="2"/>
        <v>2.1923999999999997</v>
      </c>
      <c r="J38" s="638">
        <v>0</v>
      </c>
      <c r="K38" s="1231">
        <f>4.06*10%</f>
        <v>0.40599999999999997</v>
      </c>
      <c r="L38" s="639"/>
      <c r="M38" s="1233">
        <f t="shared" si="3"/>
        <v>1.7863999999999998</v>
      </c>
      <c r="N38" s="639"/>
      <c r="O38" s="639"/>
      <c r="P38" s="639"/>
      <c r="Q38" s="639"/>
      <c r="R38" s="1233">
        <f t="shared" si="4"/>
        <v>1.0495099999999997</v>
      </c>
      <c r="S38" s="1232">
        <f>G38*2340</f>
        <v>17086.469399999998</v>
      </c>
      <c r="T38" s="1232">
        <f t="shared" si="5"/>
        <v>205037.63279999996</v>
      </c>
      <c r="U38" s="1232">
        <f>(H38*2340*12)*10%</f>
        <v>11400.48</v>
      </c>
      <c r="V38" s="1232">
        <f t="shared" si="6"/>
        <v>216438.11279999997</v>
      </c>
      <c r="W38" s="1241"/>
    </row>
    <row r="39" spans="1:23" ht="15">
      <c r="A39" s="187">
        <v>27</v>
      </c>
      <c r="B39" s="1223" t="s">
        <v>281</v>
      </c>
      <c r="C39" s="639"/>
      <c r="D39" s="639"/>
      <c r="E39" s="639"/>
      <c r="F39" s="639"/>
      <c r="G39" s="1233">
        <f t="shared" si="1"/>
        <v>7.1027670000000001</v>
      </c>
      <c r="H39" s="638">
        <v>4.0599999999999996</v>
      </c>
      <c r="I39" s="1233">
        <f t="shared" si="2"/>
        <v>2.0218800000000003</v>
      </c>
      <c r="J39" s="638">
        <v>0</v>
      </c>
      <c r="K39" s="1231">
        <f>4.06*7%</f>
        <v>0.28420000000000001</v>
      </c>
      <c r="L39" s="639"/>
      <c r="M39" s="1233">
        <f t="shared" si="3"/>
        <v>1.7376800000000001</v>
      </c>
      <c r="N39" s="639"/>
      <c r="O39" s="639"/>
      <c r="P39" s="830"/>
      <c r="Q39" s="639"/>
      <c r="R39" s="1233">
        <f t="shared" si="4"/>
        <v>1.0208869999999999</v>
      </c>
      <c r="S39" s="1232">
        <f>G39*2340</f>
        <v>16620.47478</v>
      </c>
      <c r="T39" s="1232">
        <f t="shared" si="5"/>
        <v>199445.69735999999</v>
      </c>
      <c r="U39" s="1232">
        <f>(H39*2340*12)*10%</f>
        <v>11400.48</v>
      </c>
      <c r="V39" s="1232">
        <f t="shared" si="6"/>
        <v>210846.17736</v>
      </c>
      <c r="W39" s="1241"/>
    </row>
    <row r="40" spans="1:23" ht="15">
      <c r="A40" s="176">
        <v>28</v>
      </c>
      <c r="B40" s="1223" t="s">
        <v>282</v>
      </c>
      <c r="C40" s="639"/>
      <c r="D40" s="639"/>
      <c r="E40" s="639"/>
      <c r="F40" s="639"/>
      <c r="G40" s="1233">
        <f t="shared" si="1"/>
        <v>6.6380999999999988</v>
      </c>
      <c r="H40" s="638">
        <v>4.0599999999999996</v>
      </c>
      <c r="I40" s="1233">
        <f t="shared" si="2"/>
        <v>1.6239999999999999</v>
      </c>
      <c r="J40" s="638">
        <v>0</v>
      </c>
      <c r="K40" s="1231"/>
      <c r="L40" s="639"/>
      <c r="M40" s="1233">
        <f t="shared" si="3"/>
        <v>1.6239999999999999</v>
      </c>
      <c r="N40" s="639"/>
      <c r="O40" s="639"/>
      <c r="P40" s="639"/>
      <c r="Q40" s="639"/>
      <c r="R40" s="1233">
        <f t="shared" si="4"/>
        <v>0.95409999999999984</v>
      </c>
      <c r="S40" s="1232">
        <f>G40*2340</f>
        <v>15533.153999999997</v>
      </c>
      <c r="T40" s="1232">
        <f t="shared" si="5"/>
        <v>186397.84799999997</v>
      </c>
      <c r="U40" s="1232">
        <f>(H40*2340*12)*10%</f>
        <v>11400.48</v>
      </c>
      <c r="V40" s="1232">
        <f t="shared" si="6"/>
        <v>197798.32799999998</v>
      </c>
      <c r="W40" s="1241"/>
    </row>
    <row r="41" spans="1:23" ht="15">
      <c r="A41" s="187">
        <v>29</v>
      </c>
      <c r="B41" s="1223" t="s">
        <v>283</v>
      </c>
      <c r="C41" s="639"/>
      <c r="D41" s="639"/>
      <c r="E41" s="639"/>
      <c r="F41" s="639"/>
      <c r="G41" s="1233">
        <f t="shared" si="1"/>
        <v>6.9700049999999996</v>
      </c>
      <c r="H41" s="638">
        <v>4.0599999999999996</v>
      </c>
      <c r="I41" s="1233">
        <f t="shared" si="2"/>
        <v>1.9082000000000001</v>
      </c>
      <c r="J41" s="638">
        <v>0</v>
      </c>
      <c r="K41" s="1231">
        <f>4.06*5%</f>
        <v>0.20299999999999999</v>
      </c>
      <c r="L41" s="639"/>
      <c r="M41" s="1233">
        <f t="shared" si="3"/>
        <v>1.7052</v>
      </c>
      <c r="N41" s="639"/>
      <c r="O41" s="639"/>
      <c r="P41" s="829"/>
      <c r="Q41" s="639"/>
      <c r="R41" s="1233">
        <f t="shared" si="4"/>
        <v>1.0018049999999998</v>
      </c>
      <c r="S41" s="1232">
        <f>G41*2340</f>
        <v>16309.811699999998</v>
      </c>
      <c r="T41" s="1232">
        <f t="shared" si="5"/>
        <v>195717.74039999998</v>
      </c>
      <c r="U41" s="1232">
        <f>(H41*2340*12)*10%</f>
        <v>11400.48</v>
      </c>
      <c r="V41" s="1232">
        <f t="shared" si="6"/>
        <v>207118.22039999999</v>
      </c>
      <c r="W41" s="1241"/>
    </row>
    <row r="42" spans="1:23" ht="15">
      <c r="A42" s="176">
        <v>30</v>
      </c>
      <c r="B42" s="1223" t="s">
        <v>261</v>
      </c>
      <c r="C42" s="639"/>
      <c r="D42" s="639"/>
      <c r="E42" s="639"/>
      <c r="F42" s="639"/>
      <c r="G42" s="1233">
        <f t="shared" si="1"/>
        <v>7.2355289999999997</v>
      </c>
      <c r="H42" s="638">
        <v>4.0599999999999996</v>
      </c>
      <c r="I42" s="1233">
        <f t="shared" si="2"/>
        <v>2.1355599999999999</v>
      </c>
      <c r="J42" s="638">
        <v>0</v>
      </c>
      <c r="K42" s="1231">
        <f>4.06*9%</f>
        <v>0.36539999999999995</v>
      </c>
      <c r="L42" s="639"/>
      <c r="M42" s="1233">
        <f t="shared" si="3"/>
        <v>1.77016</v>
      </c>
      <c r="N42" s="639"/>
      <c r="O42" s="639"/>
      <c r="P42" s="639"/>
      <c r="Q42" s="639"/>
      <c r="R42" s="1233">
        <f t="shared" si="4"/>
        <v>1.0399689999999999</v>
      </c>
      <c r="S42" s="1232">
        <f>G42*2340</f>
        <v>16931.137859999999</v>
      </c>
      <c r="T42" s="1232">
        <f t="shared" si="5"/>
        <v>203173.65431999997</v>
      </c>
      <c r="U42" s="1232">
        <f>(H42*2340*12)*10%</f>
        <v>11400.48</v>
      </c>
      <c r="V42" s="1232">
        <f t="shared" si="6"/>
        <v>214574.13431999998</v>
      </c>
      <c r="W42" s="1241"/>
    </row>
    <row r="43" spans="1:23" ht="15">
      <c r="A43" s="187">
        <v>31</v>
      </c>
      <c r="B43" s="1223" t="s">
        <v>284</v>
      </c>
      <c r="C43" s="639"/>
      <c r="D43" s="639"/>
      <c r="E43" s="639"/>
      <c r="F43" s="639"/>
      <c r="G43" s="1233">
        <f t="shared" si="1"/>
        <v>7.3019099999999995</v>
      </c>
      <c r="H43" s="638">
        <v>4.0599999999999996</v>
      </c>
      <c r="I43" s="1233">
        <f t="shared" si="2"/>
        <v>2.1923999999999997</v>
      </c>
      <c r="J43" s="638">
        <v>0</v>
      </c>
      <c r="K43" s="1231">
        <f>4.06*10%</f>
        <v>0.40599999999999997</v>
      </c>
      <c r="L43" s="639"/>
      <c r="M43" s="1233">
        <f t="shared" si="3"/>
        <v>1.7863999999999998</v>
      </c>
      <c r="N43" s="639"/>
      <c r="O43" s="639"/>
      <c r="P43" s="639"/>
      <c r="Q43" s="639"/>
      <c r="R43" s="1233">
        <f t="shared" si="4"/>
        <v>1.0495099999999997</v>
      </c>
      <c r="S43" s="1232">
        <f>G43*2340</f>
        <v>17086.469399999998</v>
      </c>
      <c r="T43" s="1232">
        <f t="shared" si="5"/>
        <v>205037.63279999996</v>
      </c>
      <c r="U43" s="1232">
        <f>(H43*2340*12)*10%</f>
        <v>11400.48</v>
      </c>
      <c r="V43" s="1232">
        <f t="shared" si="6"/>
        <v>216438.11279999997</v>
      </c>
      <c r="W43" s="1241"/>
    </row>
    <row r="44" spans="1:23" ht="15">
      <c r="A44" s="176">
        <v>32</v>
      </c>
      <c r="B44" s="1223" t="s">
        <v>285</v>
      </c>
      <c r="C44" s="639"/>
      <c r="D44" s="639"/>
      <c r="E44" s="639"/>
      <c r="F44" s="639"/>
      <c r="G44" s="1233">
        <f t="shared" si="1"/>
        <v>7.169147999999999</v>
      </c>
      <c r="H44" s="638">
        <v>4.0599999999999996</v>
      </c>
      <c r="I44" s="1233">
        <f t="shared" si="2"/>
        <v>2.0787199999999997</v>
      </c>
      <c r="J44" s="638">
        <v>0</v>
      </c>
      <c r="K44" s="1231">
        <f>4.06*8%</f>
        <v>0.32479999999999998</v>
      </c>
      <c r="L44" s="639"/>
      <c r="M44" s="1233">
        <f t="shared" si="3"/>
        <v>1.7539199999999999</v>
      </c>
      <c r="N44" s="639"/>
      <c r="O44" s="639"/>
      <c r="P44" s="639"/>
      <c r="Q44" s="639"/>
      <c r="R44" s="1233">
        <f t="shared" si="4"/>
        <v>1.0304279999999999</v>
      </c>
      <c r="S44" s="1232">
        <f>G44*2340</f>
        <v>16775.806319999996</v>
      </c>
      <c r="T44" s="1232">
        <f t="shared" si="5"/>
        <v>201309.67583999995</v>
      </c>
      <c r="U44" s="1232">
        <f>(H44*2340*12)*10%</f>
        <v>11400.48</v>
      </c>
      <c r="V44" s="1232">
        <f t="shared" si="6"/>
        <v>212710.15583999996</v>
      </c>
      <c r="W44" s="1241"/>
    </row>
    <row r="45" spans="1:23" ht="15">
      <c r="A45" s="187">
        <v>33</v>
      </c>
      <c r="B45" s="1223" t="s">
        <v>286</v>
      </c>
      <c r="C45" s="639"/>
      <c r="D45" s="639"/>
      <c r="E45" s="639"/>
      <c r="F45" s="639"/>
      <c r="G45" s="1233">
        <f t="shared" si="1"/>
        <v>7.3682909999999993</v>
      </c>
      <c r="H45" s="638">
        <v>4.0599999999999996</v>
      </c>
      <c r="I45" s="1233">
        <f t="shared" si="2"/>
        <v>2.2492399999999999</v>
      </c>
      <c r="J45" s="638">
        <v>0</v>
      </c>
      <c r="K45" s="1231">
        <f>4.06*11%</f>
        <v>0.44659999999999994</v>
      </c>
      <c r="L45" s="639"/>
      <c r="M45" s="1233">
        <f t="shared" si="3"/>
        <v>1.80264</v>
      </c>
      <c r="N45" s="639"/>
      <c r="O45" s="639"/>
      <c r="P45" s="639"/>
      <c r="Q45" s="639"/>
      <c r="R45" s="1233">
        <f t="shared" si="4"/>
        <v>1.059051</v>
      </c>
      <c r="S45" s="1232">
        <f>G45*2340</f>
        <v>17241.800939999997</v>
      </c>
      <c r="T45" s="1232">
        <f t="shared" si="5"/>
        <v>206901.61127999995</v>
      </c>
      <c r="U45" s="1232">
        <f>(H45*2340*12)*10%</f>
        <v>11400.48</v>
      </c>
      <c r="V45" s="1232">
        <f t="shared" si="6"/>
        <v>218302.09127999996</v>
      </c>
      <c r="W45" s="1241"/>
    </row>
    <row r="46" spans="1:23" ht="15">
      <c r="A46" s="176">
        <v>34</v>
      </c>
      <c r="B46" s="1223" t="s">
        <v>287</v>
      </c>
      <c r="C46" s="639"/>
      <c r="D46" s="639"/>
      <c r="E46" s="639"/>
      <c r="F46" s="639"/>
      <c r="G46" s="1233">
        <f t="shared" si="1"/>
        <v>7.0141499999999999</v>
      </c>
      <c r="H46" s="638">
        <v>3.99</v>
      </c>
      <c r="I46" s="1233">
        <f t="shared" si="2"/>
        <v>2.016</v>
      </c>
      <c r="J46" s="638">
        <v>0.3</v>
      </c>
      <c r="K46" s="1231"/>
      <c r="L46" s="639"/>
      <c r="M46" s="1233">
        <f t="shared" si="3"/>
        <v>1.7160000000000002</v>
      </c>
      <c r="N46" s="639"/>
      <c r="O46" s="639"/>
      <c r="P46" s="639"/>
      <c r="Q46" s="639"/>
      <c r="R46" s="1233">
        <f t="shared" si="4"/>
        <v>1.0081499999999999</v>
      </c>
      <c r="S46" s="1232">
        <f>G46*2340</f>
        <v>16413.111000000001</v>
      </c>
      <c r="T46" s="1232">
        <f t="shared" si="5"/>
        <v>196957.33199999999</v>
      </c>
      <c r="U46" s="1232">
        <f>(H46*2340*12)*10%</f>
        <v>11203.920000000002</v>
      </c>
      <c r="V46" s="1232">
        <f t="shared" si="6"/>
        <v>208161.25200000001</v>
      </c>
      <c r="W46" s="1241"/>
    </row>
    <row r="47" spans="1:23" ht="15">
      <c r="A47" s="187">
        <v>35</v>
      </c>
      <c r="B47" s="1223" t="s">
        <v>288</v>
      </c>
      <c r="C47" s="639"/>
      <c r="D47" s="639"/>
      <c r="E47" s="639"/>
      <c r="F47" s="639"/>
      <c r="G47" s="1233">
        <f t="shared" si="1"/>
        <v>7.0141499999999999</v>
      </c>
      <c r="H47" s="638">
        <v>3.99</v>
      </c>
      <c r="I47" s="1233">
        <f t="shared" si="2"/>
        <v>2.016</v>
      </c>
      <c r="J47" s="638">
        <v>0.3</v>
      </c>
      <c r="K47" s="1231"/>
      <c r="L47" s="639"/>
      <c r="M47" s="1233">
        <f t="shared" si="3"/>
        <v>1.7160000000000002</v>
      </c>
      <c r="N47" s="639"/>
      <c r="O47" s="639"/>
      <c r="P47" s="639"/>
      <c r="Q47" s="639"/>
      <c r="R47" s="1233">
        <f t="shared" si="4"/>
        <v>1.0081499999999999</v>
      </c>
      <c r="S47" s="1232">
        <f>G47*2340</f>
        <v>16413.111000000001</v>
      </c>
      <c r="T47" s="1232">
        <f t="shared" si="5"/>
        <v>196957.33199999999</v>
      </c>
      <c r="U47" s="1232">
        <f>(H47*2340*12)*10%</f>
        <v>11203.920000000002</v>
      </c>
      <c r="V47" s="1232">
        <f t="shared" si="6"/>
        <v>208161.25200000001</v>
      </c>
      <c r="W47" s="1241"/>
    </row>
    <row r="48" spans="1:23" ht="15">
      <c r="A48" s="176">
        <v>36</v>
      </c>
      <c r="B48" s="1223" t="s">
        <v>289</v>
      </c>
      <c r="C48" s="639"/>
      <c r="D48" s="639"/>
      <c r="E48" s="639"/>
      <c r="F48" s="639"/>
      <c r="G48" s="1233">
        <f t="shared" si="1"/>
        <v>6.4746000000000006</v>
      </c>
      <c r="H48" s="638">
        <v>3.96</v>
      </c>
      <c r="I48" s="1233">
        <f t="shared" si="2"/>
        <v>1.5840000000000001</v>
      </c>
      <c r="J48" s="638">
        <v>0</v>
      </c>
      <c r="K48" s="1231"/>
      <c r="L48" s="639"/>
      <c r="M48" s="1233">
        <f t="shared" si="3"/>
        <v>1.5840000000000001</v>
      </c>
      <c r="N48" s="639"/>
      <c r="O48" s="639"/>
      <c r="P48" s="639"/>
      <c r="Q48" s="639"/>
      <c r="R48" s="1233">
        <f t="shared" si="4"/>
        <v>0.93059999999999998</v>
      </c>
      <c r="S48" s="1232">
        <f>G48*2340</f>
        <v>15150.564000000002</v>
      </c>
      <c r="T48" s="1232">
        <f t="shared" si="5"/>
        <v>181806.76800000004</v>
      </c>
      <c r="U48" s="1232">
        <f>(H48*2340*12)*10%</f>
        <v>11119.68</v>
      </c>
      <c r="V48" s="1232">
        <f t="shared" si="6"/>
        <v>192926.44800000003</v>
      </c>
      <c r="W48" s="1241"/>
    </row>
    <row r="49" spans="1:23" ht="15">
      <c r="A49" s="187">
        <v>37</v>
      </c>
      <c r="B49" s="1223" t="s">
        <v>290</v>
      </c>
      <c r="C49" s="639"/>
      <c r="D49" s="639"/>
      <c r="E49" s="639"/>
      <c r="F49" s="639"/>
      <c r="G49" s="1233">
        <f t="shared" si="1"/>
        <v>6.3110999999999997</v>
      </c>
      <c r="H49" s="638">
        <v>3.86</v>
      </c>
      <c r="I49" s="1233">
        <f t="shared" si="2"/>
        <v>1.544</v>
      </c>
      <c r="J49" s="638">
        <v>0</v>
      </c>
      <c r="K49" s="1231"/>
      <c r="L49" s="639"/>
      <c r="M49" s="1233">
        <f t="shared" si="3"/>
        <v>1.544</v>
      </c>
      <c r="N49" s="639"/>
      <c r="O49" s="639"/>
      <c r="P49" s="639"/>
      <c r="Q49" s="639"/>
      <c r="R49" s="1233">
        <f t="shared" si="4"/>
        <v>0.90709999999999991</v>
      </c>
      <c r="S49" s="1232">
        <f>G49*2340</f>
        <v>14767.974</v>
      </c>
      <c r="T49" s="1232">
        <f t="shared" si="5"/>
        <v>177215.68799999999</v>
      </c>
      <c r="U49" s="1232">
        <f>(H49*2340*12)*10%</f>
        <v>10838.88</v>
      </c>
      <c r="V49" s="1232">
        <f t="shared" si="6"/>
        <v>188054.568</v>
      </c>
      <c r="W49" s="1241"/>
    </row>
    <row r="50" spans="1:23" ht="15">
      <c r="A50" s="176">
        <v>38</v>
      </c>
      <c r="B50" s="1223" t="s">
        <v>291</v>
      </c>
      <c r="C50" s="639"/>
      <c r="D50" s="639"/>
      <c r="E50" s="639"/>
      <c r="F50" s="639"/>
      <c r="G50" s="1233">
        <f t="shared" si="1"/>
        <v>6.3110999999999997</v>
      </c>
      <c r="H50" s="638">
        <v>3.86</v>
      </c>
      <c r="I50" s="1233">
        <f t="shared" si="2"/>
        <v>1.544</v>
      </c>
      <c r="J50" s="638">
        <v>0</v>
      </c>
      <c r="K50" s="1231"/>
      <c r="L50" s="639"/>
      <c r="M50" s="1233">
        <f t="shared" si="3"/>
        <v>1.544</v>
      </c>
      <c r="N50" s="639"/>
      <c r="O50" s="639"/>
      <c r="P50" s="639"/>
      <c r="Q50" s="639"/>
      <c r="R50" s="1233">
        <f t="shared" si="4"/>
        <v>0.90709999999999991</v>
      </c>
      <c r="S50" s="1232">
        <f>G50*2340</f>
        <v>14767.974</v>
      </c>
      <c r="T50" s="1232">
        <f t="shared" si="5"/>
        <v>177215.68799999999</v>
      </c>
      <c r="U50" s="1232">
        <f>(H50*2340*12)*10%</f>
        <v>10838.88</v>
      </c>
      <c r="V50" s="1232">
        <f t="shared" si="6"/>
        <v>188054.568</v>
      </c>
      <c r="W50" s="1241"/>
    </row>
    <row r="51" spans="1:23" ht="15">
      <c r="A51" s="187">
        <v>39</v>
      </c>
      <c r="B51" s="1223" t="s">
        <v>292</v>
      </c>
      <c r="C51" s="639"/>
      <c r="D51" s="639"/>
      <c r="E51" s="639"/>
      <c r="F51" s="639"/>
      <c r="G51" s="1233">
        <f t="shared" si="1"/>
        <v>5.9841000000000006</v>
      </c>
      <c r="H51" s="638">
        <v>3.66</v>
      </c>
      <c r="I51" s="1233">
        <f t="shared" si="2"/>
        <v>1.4640000000000002</v>
      </c>
      <c r="J51" s="638">
        <v>0</v>
      </c>
      <c r="K51" s="1231"/>
      <c r="L51" s="639"/>
      <c r="M51" s="1233">
        <f t="shared" si="3"/>
        <v>1.4640000000000002</v>
      </c>
      <c r="N51" s="639"/>
      <c r="O51" s="639"/>
      <c r="P51" s="639"/>
      <c r="Q51" s="639"/>
      <c r="R51" s="1233">
        <f t="shared" si="4"/>
        <v>0.86009999999999998</v>
      </c>
      <c r="S51" s="1232">
        <f>G51*2340</f>
        <v>14002.794000000002</v>
      </c>
      <c r="T51" s="1232">
        <f t="shared" si="5"/>
        <v>168033.52800000002</v>
      </c>
      <c r="U51" s="1232">
        <f>(H51*2340*12)*10%</f>
        <v>10277.279999999999</v>
      </c>
      <c r="V51" s="1232">
        <f t="shared" si="6"/>
        <v>178310.80800000002</v>
      </c>
      <c r="W51" s="1241"/>
    </row>
    <row r="52" spans="1:23" ht="15">
      <c r="A52" s="176">
        <v>40</v>
      </c>
      <c r="B52" s="1223" t="s">
        <v>293</v>
      </c>
      <c r="C52" s="639"/>
      <c r="D52" s="639"/>
      <c r="E52" s="639"/>
      <c r="F52" s="639"/>
      <c r="G52" s="1233">
        <f t="shared" si="1"/>
        <v>5.9841000000000006</v>
      </c>
      <c r="H52" s="638">
        <v>3.66</v>
      </c>
      <c r="I52" s="1233">
        <f t="shared" si="2"/>
        <v>1.4640000000000002</v>
      </c>
      <c r="J52" s="638">
        <v>0</v>
      </c>
      <c r="K52" s="1231"/>
      <c r="L52" s="639"/>
      <c r="M52" s="1233">
        <f t="shared" si="3"/>
        <v>1.4640000000000002</v>
      </c>
      <c r="N52" s="639"/>
      <c r="O52" s="639"/>
      <c r="P52" s="639"/>
      <c r="Q52" s="639"/>
      <c r="R52" s="1233">
        <f t="shared" si="4"/>
        <v>0.86009999999999998</v>
      </c>
      <c r="S52" s="1232">
        <f>G52*2340</f>
        <v>14002.794000000002</v>
      </c>
      <c r="T52" s="1232">
        <f t="shared" si="5"/>
        <v>168033.52800000002</v>
      </c>
      <c r="U52" s="1232">
        <f>(H52*2340*12)*10%</f>
        <v>10277.279999999999</v>
      </c>
      <c r="V52" s="1232">
        <f t="shared" si="6"/>
        <v>178310.80800000002</v>
      </c>
      <c r="W52" s="1241"/>
    </row>
    <row r="53" spans="1:23" ht="15">
      <c r="A53" s="187">
        <v>41</v>
      </c>
      <c r="B53" s="1223" t="s">
        <v>294</v>
      </c>
      <c r="C53" s="639"/>
      <c r="D53" s="639"/>
      <c r="E53" s="639"/>
      <c r="F53" s="639"/>
      <c r="G53" s="1233">
        <f t="shared" si="1"/>
        <v>6.5236499999999999</v>
      </c>
      <c r="H53" s="638">
        <v>3.99</v>
      </c>
      <c r="I53" s="1233">
        <f t="shared" si="2"/>
        <v>1.5960000000000001</v>
      </c>
      <c r="J53" s="638">
        <v>0</v>
      </c>
      <c r="K53" s="1231"/>
      <c r="L53" s="639"/>
      <c r="M53" s="1233">
        <f t="shared" si="3"/>
        <v>1.5960000000000001</v>
      </c>
      <c r="N53" s="639"/>
      <c r="O53" s="639"/>
      <c r="P53" s="639"/>
      <c r="Q53" s="639"/>
      <c r="R53" s="1233">
        <f t="shared" si="4"/>
        <v>0.93764999999999998</v>
      </c>
      <c r="S53" s="1232">
        <f>G53*2340</f>
        <v>15265.341</v>
      </c>
      <c r="T53" s="1232">
        <f t="shared" si="5"/>
        <v>183184.092</v>
      </c>
      <c r="U53" s="1232">
        <f>(H53*2340*12)*10%</f>
        <v>11203.920000000002</v>
      </c>
      <c r="V53" s="1232">
        <f t="shared" si="6"/>
        <v>194388.01200000002</v>
      </c>
      <c r="W53" s="1241"/>
    </row>
    <row r="54" spans="1:23" ht="15">
      <c r="A54" s="176">
        <v>42</v>
      </c>
      <c r="B54" s="1223" t="s">
        <v>295</v>
      </c>
      <c r="C54" s="639"/>
      <c r="D54" s="639"/>
      <c r="E54" s="639"/>
      <c r="F54" s="639"/>
      <c r="G54" s="1233">
        <f t="shared" si="1"/>
        <v>5.9841000000000006</v>
      </c>
      <c r="H54" s="638">
        <v>3.66</v>
      </c>
      <c r="I54" s="1233">
        <f t="shared" si="2"/>
        <v>1.4640000000000002</v>
      </c>
      <c r="J54" s="638">
        <v>0</v>
      </c>
      <c r="K54" s="1231"/>
      <c r="L54" s="639"/>
      <c r="M54" s="1233">
        <f t="shared" si="3"/>
        <v>1.4640000000000002</v>
      </c>
      <c r="N54" s="639"/>
      <c r="O54" s="639"/>
      <c r="P54" s="639"/>
      <c r="Q54" s="639"/>
      <c r="R54" s="1233">
        <f t="shared" si="4"/>
        <v>0.86009999999999998</v>
      </c>
      <c r="S54" s="1232">
        <f>G54*2340</f>
        <v>14002.794000000002</v>
      </c>
      <c r="T54" s="1232">
        <f t="shared" si="5"/>
        <v>168033.52800000002</v>
      </c>
      <c r="U54" s="1232">
        <f>(H54*2340*12)*10%</f>
        <v>10277.279999999999</v>
      </c>
      <c r="V54" s="1232">
        <f t="shared" si="6"/>
        <v>178310.80800000002</v>
      </c>
      <c r="W54" s="1241"/>
    </row>
    <row r="55" spans="1:23" ht="15">
      <c r="A55" s="187">
        <v>43</v>
      </c>
      <c r="B55" s="1223" t="s">
        <v>296</v>
      </c>
      <c r="C55" s="639"/>
      <c r="D55" s="639"/>
      <c r="E55" s="639"/>
      <c r="F55" s="639"/>
      <c r="G55" s="1233">
        <f t="shared" si="1"/>
        <v>5.6570999999999998</v>
      </c>
      <c r="H55" s="638">
        <v>3.46</v>
      </c>
      <c r="I55" s="1233">
        <f t="shared" si="2"/>
        <v>1.3840000000000001</v>
      </c>
      <c r="J55" s="638">
        <v>0</v>
      </c>
      <c r="K55" s="1231"/>
      <c r="L55" s="639"/>
      <c r="M55" s="1233">
        <f t="shared" si="3"/>
        <v>1.3840000000000001</v>
      </c>
      <c r="N55" s="639"/>
      <c r="O55" s="639"/>
      <c r="P55" s="639"/>
      <c r="Q55" s="639"/>
      <c r="R55" s="1233">
        <f t="shared" si="4"/>
        <v>0.81309999999999993</v>
      </c>
      <c r="S55" s="1232">
        <f>G55*2340</f>
        <v>13237.614</v>
      </c>
      <c r="T55" s="1232">
        <f t="shared" si="5"/>
        <v>158851.36799999999</v>
      </c>
      <c r="U55" s="1232">
        <f>(H55*2340*12)*10%</f>
        <v>9715.6799999999985</v>
      </c>
      <c r="V55" s="1232">
        <f t="shared" si="6"/>
        <v>168567.04799999998</v>
      </c>
      <c r="W55" s="1241"/>
    </row>
    <row r="56" spans="1:23" ht="15">
      <c r="A56" s="176">
        <v>44</v>
      </c>
      <c r="B56" s="1223" t="s">
        <v>297</v>
      </c>
      <c r="C56" s="639"/>
      <c r="D56" s="639"/>
      <c r="E56" s="639"/>
      <c r="F56" s="639"/>
      <c r="G56" s="1233">
        <f t="shared" si="1"/>
        <v>5.6570999999999998</v>
      </c>
      <c r="H56" s="638">
        <v>3.46</v>
      </c>
      <c r="I56" s="1233">
        <f t="shared" si="2"/>
        <v>1.3840000000000001</v>
      </c>
      <c r="J56" s="638">
        <v>0</v>
      </c>
      <c r="K56" s="1231"/>
      <c r="L56" s="639"/>
      <c r="M56" s="1233">
        <f t="shared" si="3"/>
        <v>1.3840000000000001</v>
      </c>
      <c r="N56" s="639"/>
      <c r="O56" s="639"/>
      <c r="P56" s="639"/>
      <c r="Q56" s="639"/>
      <c r="R56" s="1233">
        <f t="shared" si="4"/>
        <v>0.81309999999999993</v>
      </c>
      <c r="S56" s="1232">
        <f>G56*2340</f>
        <v>13237.614</v>
      </c>
      <c r="T56" s="1232">
        <f t="shared" si="5"/>
        <v>158851.36799999999</v>
      </c>
      <c r="U56" s="1232">
        <f>(H56*2340*12)*10%</f>
        <v>9715.6799999999985</v>
      </c>
      <c r="V56" s="1232">
        <f t="shared" si="6"/>
        <v>168567.04799999998</v>
      </c>
      <c r="W56" s="1241"/>
    </row>
    <row r="57" spans="1:23" ht="15">
      <c r="A57" s="187">
        <v>45</v>
      </c>
      <c r="B57" s="1223" t="s">
        <v>298</v>
      </c>
      <c r="C57" s="639"/>
      <c r="D57" s="639"/>
      <c r="E57" s="639"/>
      <c r="F57" s="639"/>
      <c r="G57" s="1233">
        <f t="shared" si="1"/>
        <v>5.6570999999999998</v>
      </c>
      <c r="H57" s="638">
        <v>3.46</v>
      </c>
      <c r="I57" s="1233">
        <f t="shared" si="2"/>
        <v>1.3840000000000001</v>
      </c>
      <c r="J57" s="638">
        <v>0</v>
      </c>
      <c r="K57" s="1231"/>
      <c r="L57" s="639"/>
      <c r="M57" s="1233">
        <f t="shared" si="3"/>
        <v>1.3840000000000001</v>
      </c>
      <c r="N57" s="639"/>
      <c r="O57" s="639"/>
      <c r="P57" s="639"/>
      <c r="Q57" s="639"/>
      <c r="R57" s="1233">
        <f t="shared" si="4"/>
        <v>0.81309999999999993</v>
      </c>
      <c r="S57" s="1232">
        <f>G57*2340</f>
        <v>13237.614</v>
      </c>
      <c r="T57" s="1232">
        <f t="shared" si="5"/>
        <v>158851.36799999999</v>
      </c>
      <c r="U57" s="1232">
        <f>(H57*2340*12)*10%</f>
        <v>9715.6799999999985</v>
      </c>
      <c r="V57" s="1232">
        <f t="shared" si="6"/>
        <v>168567.04799999998</v>
      </c>
      <c r="W57" s="1241"/>
    </row>
    <row r="58" spans="1:23" ht="15">
      <c r="A58" s="176">
        <v>46</v>
      </c>
      <c r="B58" s="1223" t="s">
        <v>299</v>
      </c>
      <c r="C58" s="639"/>
      <c r="D58" s="639"/>
      <c r="E58" s="639"/>
      <c r="F58" s="639"/>
      <c r="G58" s="1233">
        <f t="shared" si="1"/>
        <v>5.6570999999999998</v>
      </c>
      <c r="H58" s="638">
        <v>3.46</v>
      </c>
      <c r="I58" s="1233">
        <f t="shared" si="2"/>
        <v>1.3840000000000001</v>
      </c>
      <c r="J58" s="638">
        <v>0</v>
      </c>
      <c r="K58" s="1231"/>
      <c r="L58" s="639"/>
      <c r="M58" s="1233">
        <f t="shared" si="3"/>
        <v>1.3840000000000001</v>
      </c>
      <c r="N58" s="639"/>
      <c r="O58" s="639"/>
      <c r="P58" s="639"/>
      <c r="Q58" s="639"/>
      <c r="R58" s="1233">
        <f t="shared" si="4"/>
        <v>0.81309999999999993</v>
      </c>
      <c r="S58" s="1232">
        <f>G58*2340</f>
        <v>13237.614</v>
      </c>
      <c r="T58" s="1232">
        <f t="shared" si="5"/>
        <v>158851.36799999999</v>
      </c>
      <c r="U58" s="1232">
        <f>(H58*2340*12)*10%</f>
        <v>9715.6799999999985</v>
      </c>
      <c r="V58" s="1232">
        <f t="shared" si="6"/>
        <v>168567.04799999998</v>
      </c>
      <c r="W58" s="1241"/>
    </row>
    <row r="59" spans="1:23" ht="15">
      <c r="A59" s="187">
        <v>47</v>
      </c>
      <c r="B59" s="1223" t="s">
        <v>300</v>
      </c>
      <c r="C59" s="639"/>
      <c r="D59" s="639"/>
      <c r="E59" s="639"/>
      <c r="F59" s="639"/>
      <c r="G59" s="1233">
        <f t="shared" si="1"/>
        <v>5.6570999999999998</v>
      </c>
      <c r="H59" s="638">
        <v>3.46</v>
      </c>
      <c r="I59" s="1233">
        <f t="shared" si="2"/>
        <v>1.3840000000000001</v>
      </c>
      <c r="J59" s="638">
        <v>0</v>
      </c>
      <c r="K59" s="1231"/>
      <c r="L59" s="639"/>
      <c r="M59" s="1233">
        <f t="shared" si="3"/>
        <v>1.3840000000000001</v>
      </c>
      <c r="N59" s="639"/>
      <c r="O59" s="639"/>
      <c r="P59" s="639"/>
      <c r="Q59" s="639"/>
      <c r="R59" s="1233">
        <f t="shared" si="4"/>
        <v>0.81309999999999993</v>
      </c>
      <c r="S59" s="1232">
        <f>G59*2340</f>
        <v>13237.614</v>
      </c>
      <c r="T59" s="1232">
        <f t="shared" si="5"/>
        <v>158851.36799999999</v>
      </c>
      <c r="U59" s="1232">
        <f>(H59*2340*12)*10%</f>
        <v>9715.6799999999985</v>
      </c>
      <c r="V59" s="1232">
        <f t="shared" si="6"/>
        <v>168567.04799999998</v>
      </c>
      <c r="W59" s="1241"/>
    </row>
    <row r="60" spans="1:23" ht="15">
      <c r="A60" s="176">
        <v>48</v>
      </c>
      <c r="B60" s="1223" t="s">
        <v>301</v>
      </c>
      <c r="C60" s="639"/>
      <c r="D60" s="639"/>
      <c r="E60" s="639"/>
      <c r="F60" s="639"/>
      <c r="G60" s="1233">
        <f t="shared" si="1"/>
        <v>5.7878999999999996</v>
      </c>
      <c r="H60" s="638">
        <v>3.34</v>
      </c>
      <c r="I60" s="1233">
        <f t="shared" si="2"/>
        <v>1.6160000000000001</v>
      </c>
      <c r="J60" s="638">
        <v>0.2</v>
      </c>
      <c r="K60" s="1231"/>
      <c r="L60" s="639"/>
      <c r="M60" s="1233">
        <f t="shared" si="3"/>
        <v>1.4160000000000001</v>
      </c>
      <c r="N60" s="639"/>
      <c r="O60" s="639"/>
      <c r="P60" s="639"/>
      <c r="Q60" s="639"/>
      <c r="R60" s="1233">
        <f t="shared" si="4"/>
        <v>0.83189999999999997</v>
      </c>
      <c r="S60" s="1232">
        <f>G60*2340</f>
        <v>13543.686</v>
      </c>
      <c r="T60" s="1232">
        <f t="shared" si="5"/>
        <v>162524.23199999999</v>
      </c>
      <c r="U60" s="1232">
        <f>(H60*2340*12)*10%</f>
        <v>9378.7199999999993</v>
      </c>
      <c r="V60" s="1232">
        <f t="shared" si="6"/>
        <v>171902.95199999999</v>
      </c>
      <c r="W60" s="1241"/>
    </row>
    <row r="61" spans="1:23" ht="15">
      <c r="A61" s="187">
        <v>49</v>
      </c>
      <c r="B61" s="1223" t="s">
        <v>302</v>
      </c>
      <c r="C61" s="639"/>
      <c r="D61" s="639"/>
      <c r="E61" s="639"/>
      <c r="F61" s="639"/>
      <c r="G61" s="1233">
        <f t="shared" si="1"/>
        <v>5.7878999999999996</v>
      </c>
      <c r="H61" s="638">
        <v>3.34</v>
      </c>
      <c r="I61" s="1233">
        <f t="shared" si="2"/>
        <v>1.6160000000000001</v>
      </c>
      <c r="J61" s="638">
        <v>0.2</v>
      </c>
      <c r="K61" s="1231"/>
      <c r="L61" s="639"/>
      <c r="M61" s="1233">
        <f t="shared" si="3"/>
        <v>1.4160000000000001</v>
      </c>
      <c r="N61" s="639"/>
      <c r="O61" s="639"/>
      <c r="P61" s="639"/>
      <c r="Q61" s="639"/>
      <c r="R61" s="1233">
        <f t="shared" si="4"/>
        <v>0.83189999999999997</v>
      </c>
      <c r="S61" s="1232">
        <f>G61*2340</f>
        <v>13543.686</v>
      </c>
      <c r="T61" s="1232">
        <f t="shared" si="5"/>
        <v>162524.23199999999</v>
      </c>
      <c r="U61" s="1232">
        <f>(H61*2340*12)*10%</f>
        <v>9378.7199999999993</v>
      </c>
      <c r="V61" s="1232">
        <f t="shared" si="6"/>
        <v>171902.95199999999</v>
      </c>
      <c r="W61" s="1241"/>
    </row>
    <row r="62" spans="1:23" ht="15">
      <c r="A62" s="176">
        <v>50</v>
      </c>
      <c r="B62" s="1223" t="s">
        <v>303</v>
      </c>
      <c r="C62" s="639"/>
      <c r="D62" s="639"/>
      <c r="E62" s="639"/>
      <c r="F62" s="639"/>
      <c r="G62" s="1233">
        <f t="shared" si="1"/>
        <v>5.4609000000000005</v>
      </c>
      <c r="H62" s="638">
        <v>3.34</v>
      </c>
      <c r="I62" s="1233">
        <f t="shared" si="2"/>
        <v>1.3360000000000001</v>
      </c>
      <c r="J62" s="638">
        <v>0</v>
      </c>
      <c r="K62" s="1231"/>
      <c r="L62" s="639"/>
      <c r="M62" s="1233">
        <f t="shared" si="3"/>
        <v>1.3360000000000001</v>
      </c>
      <c r="N62" s="639"/>
      <c r="O62" s="639"/>
      <c r="P62" s="639"/>
      <c r="Q62" s="639"/>
      <c r="R62" s="1233">
        <f t="shared" si="4"/>
        <v>0.78489999999999993</v>
      </c>
      <c r="S62" s="1232">
        <f>G62*2340</f>
        <v>12778.506000000001</v>
      </c>
      <c r="T62" s="1232">
        <f t="shared" si="5"/>
        <v>153342.07200000001</v>
      </c>
      <c r="U62" s="1232">
        <f>(H62*2340*12)*10%</f>
        <v>9378.7199999999993</v>
      </c>
      <c r="V62" s="1232">
        <f t="shared" si="6"/>
        <v>162720.79200000002</v>
      </c>
      <c r="W62" s="1241"/>
    </row>
    <row r="63" spans="1:23" ht="15">
      <c r="A63" s="187">
        <v>51</v>
      </c>
      <c r="B63" s="1223" t="s">
        <v>304</v>
      </c>
      <c r="C63" s="639"/>
      <c r="D63" s="639"/>
      <c r="E63" s="639"/>
      <c r="F63" s="639"/>
      <c r="G63" s="1233">
        <f t="shared" si="1"/>
        <v>5.4609000000000005</v>
      </c>
      <c r="H63" s="638">
        <v>3.34</v>
      </c>
      <c r="I63" s="1233">
        <f t="shared" si="2"/>
        <v>1.3360000000000001</v>
      </c>
      <c r="J63" s="638">
        <v>0</v>
      </c>
      <c r="K63" s="1231"/>
      <c r="L63" s="639"/>
      <c r="M63" s="1233">
        <f t="shared" si="3"/>
        <v>1.3360000000000001</v>
      </c>
      <c r="N63" s="639"/>
      <c r="O63" s="639"/>
      <c r="P63" s="639"/>
      <c r="Q63" s="639"/>
      <c r="R63" s="1233">
        <f t="shared" si="4"/>
        <v>0.78489999999999993</v>
      </c>
      <c r="S63" s="1232">
        <f>G63*2340</f>
        <v>12778.506000000001</v>
      </c>
      <c r="T63" s="1232">
        <f t="shared" si="5"/>
        <v>153342.07200000001</v>
      </c>
      <c r="U63" s="1232">
        <f>(H63*2340*12)*10%</f>
        <v>9378.7199999999993</v>
      </c>
      <c r="V63" s="1232">
        <f t="shared" si="6"/>
        <v>162720.79200000002</v>
      </c>
      <c r="W63" s="1241"/>
    </row>
    <row r="64" spans="1:23" ht="15">
      <c r="A64" s="176">
        <v>52</v>
      </c>
      <c r="B64" s="1223" t="s">
        <v>305</v>
      </c>
      <c r="C64" s="639"/>
      <c r="D64" s="639"/>
      <c r="E64" s="639"/>
      <c r="F64" s="639"/>
      <c r="G64" s="1233">
        <f t="shared" si="1"/>
        <v>5.9677499999999997</v>
      </c>
      <c r="H64" s="638">
        <v>3.65</v>
      </c>
      <c r="I64" s="1233">
        <f t="shared" si="2"/>
        <v>1.46</v>
      </c>
      <c r="J64" s="638">
        <v>0</v>
      </c>
      <c r="K64" s="1231"/>
      <c r="L64" s="639"/>
      <c r="M64" s="1233">
        <f t="shared" si="3"/>
        <v>1.46</v>
      </c>
      <c r="N64" s="639"/>
      <c r="O64" s="639"/>
      <c r="P64" s="639"/>
      <c r="Q64" s="639"/>
      <c r="R64" s="1233">
        <f t="shared" si="4"/>
        <v>0.8577499999999999</v>
      </c>
      <c r="S64" s="1232">
        <f>G64*2340</f>
        <v>13964.535</v>
      </c>
      <c r="T64" s="1232">
        <f t="shared" si="5"/>
        <v>167574.41999999998</v>
      </c>
      <c r="U64" s="1232">
        <f>(H64*2340*12)*10%</f>
        <v>10249.200000000001</v>
      </c>
      <c r="V64" s="1232">
        <f t="shared" si="6"/>
        <v>177823.62</v>
      </c>
      <c r="W64" s="1241"/>
    </row>
    <row r="65" spans="1:23" ht="15">
      <c r="A65" s="187">
        <v>53</v>
      </c>
      <c r="B65" s="1223" t="s">
        <v>306</v>
      </c>
      <c r="C65" s="639"/>
      <c r="D65" s="639"/>
      <c r="E65" s="639"/>
      <c r="F65" s="639"/>
      <c r="G65" s="1233">
        <f t="shared" si="1"/>
        <v>5.4609000000000005</v>
      </c>
      <c r="H65" s="638">
        <v>3.34</v>
      </c>
      <c r="I65" s="1233">
        <f t="shared" si="2"/>
        <v>1.3360000000000001</v>
      </c>
      <c r="J65" s="638">
        <v>0</v>
      </c>
      <c r="K65" s="1231"/>
      <c r="L65" s="639"/>
      <c r="M65" s="1233">
        <f t="shared" si="3"/>
        <v>1.3360000000000001</v>
      </c>
      <c r="N65" s="639"/>
      <c r="O65" s="639"/>
      <c r="P65" s="639"/>
      <c r="Q65" s="639"/>
      <c r="R65" s="1233">
        <f t="shared" si="4"/>
        <v>0.78489999999999993</v>
      </c>
      <c r="S65" s="1232">
        <f>G65*2340</f>
        <v>12778.506000000001</v>
      </c>
      <c r="T65" s="1232">
        <f t="shared" si="5"/>
        <v>153342.07200000001</v>
      </c>
      <c r="U65" s="1232">
        <f>(H65*2340*12)*10%</f>
        <v>9378.7199999999993</v>
      </c>
      <c r="V65" s="1232">
        <f t="shared" si="6"/>
        <v>162720.79200000002</v>
      </c>
      <c r="W65" s="1241"/>
    </row>
    <row r="66" spans="1:23" ht="15">
      <c r="A66" s="176">
        <v>54</v>
      </c>
      <c r="B66" s="1223" t="s">
        <v>307</v>
      </c>
      <c r="C66" s="639"/>
      <c r="D66" s="639"/>
      <c r="E66" s="639"/>
      <c r="F66" s="639"/>
      <c r="G66" s="1233">
        <f t="shared" si="1"/>
        <v>5.4609000000000005</v>
      </c>
      <c r="H66" s="638">
        <v>3.34</v>
      </c>
      <c r="I66" s="1233">
        <f t="shared" si="2"/>
        <v>1.3360000000000001</v>
      </c>
      <c r="J66" s="638">
        <v>0</v>
      </c>
      <c r="K66" s="1231"/>
      <c r="L66" s="639"/>
      <c r="M66" s="1233">
        <f t="shared" si="3"/>
        <v>1.3360000000000001</v>
      </c>
      <c r="N66" s="639"/>
      <c r="O66" s="639"/>
      <c r="P66" s="639"/>
      <c r="Q66" s="639"/>
      <c r="R66" s="1233">
        <f t="shared" si="4"/>
        <v>0.78489999999999993</v>
      </c>
      <c r="S66" s="1232">
        <f>G66*2340</f>
        <v>12778.506000000001</v>
      </c>
      <c r="T66" s="1232">
        <f t="shared" si="5"/>
        <v>153342.07200000001</v>
      </c>
      <c r="U66" s="1232">
        <f>(H66*2340*12)*10%</f>
        <v>9378.7199999999993</v>
      </c>
      <c r="V66" s="1232">
        <f t="shared" si="6"/>
        <v>162720.79200000002</v>
      </c>
      <c r="W66" s="1241"/>
    </row>
    <row r="67" spans="1:23" ht="15">
      <c r="A67" s="187">
        <v>55</v>
      </c>
      <c r="B67" s="1223" t="s">
        <v>308</v>
      </c>
      <c r="C67" s="639"/>
      <c r="D67" s="639"/>
      <c r="E67" s="639"/>
      <c r="F67" s="639"/>
      <c r="G67" s="1233">
        <f t="shared" si="1"/>
        <v>5.4609000000000005</v>
      </c>
      <c r="H67" s="638">
        <v>3.34</v>
      </c>
      <c r="I67" s="1233">
        <f t="shared" si="2"/>
        <v>1.3360000000000001</v>
      </c>
      <c r="J67" s="638">
        <v>0</v>
      </c>
      <c r="K67" s="1231"/>
      <c r="L67" s="639"/>
      <c r="M67" s="1233">
        <f t="shared" si="3"/>
        <v>1.3360000000000001</v>
      </c>
      <c r="N67" s="639"/>
      <c r="O67" s="639"/>
      <c r="P67" s="639"/>
      <c r="Q67" s="639"/>
      <c r="R67" s="1233">
        <f t="shared" si="4"/>
        <v>0.78489999999999993</v>
      </c>
      <c r="S67" s="1232">
        <f>G67*2340</f>
        <v>12778.506000000001</v>
      </c>
      <c r="T67" s="1232">
        <f t="shared" si="5"/>
        <v>153342.07200000001</v>
      </c>
      <c r="U67" s="1232">
        <f>(H67*2340*12)*10%</f>
        <v>9378.7199999999993</v>
      </c>
      <c r="V67" s="1232">
        <f t="shared" si="6"/>
        <v>162720.79200000002</v>
      </c>
      <c r="W67" s="1241"/>
    </row>
    <row r="68" spans="1:23" ht="15">
      <c r="A68" s="176">
        <v>56</v>
      </c>
      <c r="B68" s="1223" t="s">
        <v>309</v>
      </c>
      <c r="C68" s="639"/>
      <c r="D68" s="639"/>
      <c r="E68" s="639"/>
      <c r="F68" s="639"/>
      <c r="G68" s="1233">
        <f t="shared" si="1"/>
        <v>5.4609000000000005</v>
      </c>
      <c r="H68" s="638">
        <v>3.34</v>
      </c>
      <c r="I68" s="1233">
        <f t="shared" si="2"/>
        <v>1.3360000000000001</v>
      </c>
      <c r="J68" s="638">
        <v>0</v>
      </c>
      <c r="K68" s="1231"/>
      <c r="L68" s="639"/>
      <c r="M68" s="1233">
        <f t="shared" si="3"/>
        <v>1.3360000000000001</v>
      </c>
      <c r="N68" s="639"/>
      <c r="O68" s="639"/>
      <c r="P68" s="639"/>
      <c r="Q68" s="639"/>
      <c r="R68" s="1233">
        <f t="shared" si="4"/>
        <v>0.78489999999999993</v>
      </c>
      <c r="S68" s="1232">
        <f>G68*2340</f>
        <v>12778.506000000001</v>
      </c>
      <c r="T68" s="1232">
        <f t="shared" si="5"/>
        <v>153342.07200000001</v>
      </c>
      <c r="U68" s="1232">
        <f>(H68*2340*12)*10%</f>
        <v>9378.7199999999993</v>
      </c>
      <c r="V68" s="1232">
        <f t="shared" si="6"/>
        <v>162720.79200000002</v>
      </c>
      <c r="W68" s="1241"/>
    </row>
    <row r="69" spans="1:23" ht="15">
      <c r="A69" s="187">
        <v>57</v>
      </c>
      <c r="B69" s="1223" t="s">
        <v>310</v>
      </c>
      <c r="C69" s="639"/>
      <c r="D69" s="639"/>
      <c r="E69" s="639"/>
      <c r="F69" s="639"/>
      <c r="G69" s="1233">
        <f t="shared" si="1"/>
        <v>5.4609000000000005</v>
      </c>
      <c r="H69" s="638">
        <v>3.34</v>
      </c>
      <c r="I69" s="1233">
        <f t="shared" si="2"/>
        <v>1.3360000000000001</v>
      </c>
      <c r="J69" s="638">
        <v>0</v>
      </c>
      <c r="K69" s="1231"/>
      <c r="L69" s="639"/>
      <c r="M69" s="1233">
        <f t="shared" si="3"/>
        <v>1.3360000000000001</v>
      </c>
      <c r="N69" s="639"/>
      <c r="O69" s="639"/>
      <c r="P69" s="639"/>
      <c r="Q69" s="639"/>
      <c r="R69" s="1233">
        <f t="shared" si="4"/>
        <v>0.78489999999999993</v>
      </c>
      <c r="S69" s="1232">
        <f>G69*2340</f>
        <v>12778.506000000001</v>
      </c>
      <c r="T69" s="1232">
        <f t="shared" si="5"/>
        <v>153342.07200000001</v>
      </c>
      <c r="U69" s="1232">
        <f>(H69*2340*12)*10%</f>
        <v>9378.7199999999993</v>
      </c>
      <c r="V69" s="1232">
        <f t="shared" si="6"/>
        <v>162720.79200000002</v>
      </c>
      <c r="W69" s="1241"/>
    </row>
    <row r="70" spans="1:23" ht="15">
      <c r="A70" s="176">
        <v>58</v>
      </c>
      <c r="B70" s="1223" t="s">
        <v>311</v>
      </c>
      <c r="C70" s="639"/>
      <c r="D70" s="639"/>
      <c r="E70" s="639"/>
      <c r="F70" s="639"/>
      <c r="G70" s="1233">
        <f t="shared" si="1"/>
        <v>5.4609000000000005</v>
      </c>
      <c r="H70" s="638">
        <v>3.34</v>
      </c>
      <c r="I70" s="1233">
        <f t="shared" si="2"/>
        <v>1.3360000000000001</v>
      </c>
      <c r="J70" s="638">
        <v>0</v>
      </c>
      <c r="K70" s="1231"/>
      <c r="L70" s="639"/>
      <c r="M70" s="1233">
        <f t="shared" si="3"/>
        <v>1.3360000000000001</v>
      </c>
      <c r="N70" s="639"/>
      <c r="O70" s="639"/>
      <c r="P70" s="639"/>
      <c r="Q70" s="639"/>
      <c r="R70" s="1233">
        <f t="shared" si="4"/>
        <v>0.78489999999999993</v>
      </c>
      <c r="S70" s="1232">
        <f>G70*2340</f>
        <v>12778.506000000001</v>
      </c>
      <c r="T70" s="1232">
        <f t="shared" si="5"/>
        <v>153342.07200000001</v>
      </c>
      <c r="U70" s="1232">
        <f>(H70*2340*12)*10%</f>
        <v>9378.7199999999993</v>
      </c>
      <c r="V70" s="1232">
        <f t="shared" si="6"/>
        <v>162720.79200000002</v>
      </c>
      <c r="W70" s="1241"/>
    </row>
    <row r="71" spans="1:23" ht="15">
      <c r="A71" s="187">
        <v>59</v>
      </c>
      <c r="B71" s="1223" t="s">
        <v>312</v>
      </c>
      <c r="C71" s="639"/>
      <c r="D71" s="639"/>
      <c r="E71" s="639"/>
      <c r="F71" s="639"/>
      <c r="G71" s="1233">
        <f t="shared" si="1"/>
        <v>5.4609000000000005</v>
      </c>
      <c r="H71" s="638">
        <v>3.34</v>
      </c>
      <c r="I71" s="1233">
        <f t="shared" si="2"/>
        <v>1.3360000000000001</v>
      </c>
      <c r="J71" s="638">
        <v>0</v>
      </c>
      <c r="K71" s="1231"/>
      <c r="L71" s="639"/>
      <c r="M71" s="1233">
        <f t="shared" si="3"/>
        <v>1.3360000000000001</v>
      </c>
      <c r="N71" s="639"/>
      <c r="O71" s="639"/>
      <c r="P71" s="639"/>
      <c r="Q71" s="639"/>
      <c r="R71" s="1233">
        <f t="shared" si="4"/>
        <v>0.78489999999999993</v>
      </c>
      <c r="S71" s="1232">
        <f>G71*2340</f>
        <v>12778.506000000001</v>
      </c>
      <c r="T71" s="1232">
        <f t="shared" si="5"/>
        <v>153342.07200000001</v>
      </c>
      <c r="U71" s="1232">
        <f>(H71*2340*12)*10%</f>
        <v>9378.7199999999993</v>
      </c>
      <c r="V71" s="1232">
        <f t="shared" si="6"/>
        <v>162720.79200000002</v>
      </c>
      <c r="W71" s="1241"/>
    </row>
    <row r="72" spans="1:23" ht="15">
      <c r="A72" s="176">
        <v>60</v>
      </c>
      <c r="B72" s="1223" t="s">
        <v>313</v>
      </c>
      <c r="C72" s="639"/>
      <c r="D72" s="639"/>
      <c r="E72" s="639"/>
      <c r="F72" s="639"/>
      <c r="G72" s="1233">
        <f t="shared" si="1"/>
        <v>5.9350499999999995</v>
      </c>
      <c r="H72" s="638">
        <v>3.33</v>
      </c>
      <c r="I72" s="1233">
        <f t="shared" si="2"/>
        <v>1.752</v>
      </c>
      <c r="J72" s="638">
        <v>0.3</v>
      </c>
      <c r="K72" s="1231"/>
      <c r="L72" s="639"/>
      <c r="M72" s="1233">
        <f t="shared" si="3"/>
        <v>1.452</v>
      </c>
      <c r="N72" s="639"/>
      <c r="O72" s="639"/>
      <c r="P72" s="639"/>
      <c r="Q72" s="639"/>
      <c r="R72" s="1233">
        <f t="shared" si="4"/>
        <v>0.85304999999999997</v>
      </c>
      <c r="S72" s="1232">
        <f>G72*2340</f>
        <v>13888.016999999998</v>
      </c>
      <c r="T72" s="1232">
        <f t="shared" si="5"/>
        <v>166656.20399999997</v>
      </c>
      <c r="U72" s="1232">
        <f>(H72*2340*12)*10%</f>
        <v>9350.64</v>
      </c>
      <c r="V72" s="1232">
        <f t="shared" si="6"/>
        <v>176006.84399999998</v>
      </c>
      <c r="W72" s="1241"/>
    </row>
    <row r="73" spans="1:23" ht="15">
      <c r="A73" s="187">
        <v>61</v>
      </c>
      <c r="B73" s="1223" t="s">
        <v>314</v>
      </c>
      <c r="C73" s="639"/>
      <c r="D73" s="639"/>
      <c r="E73" s="639"/>
      <c r="F73" s="639"/>
      <c r="G73" s="1233">
        <f t="shared" si="1"/>
        <v>6.4746000000000006</v>
      </c>
      <c r="H73" s="638">
        <v>3.66</v>
      </c>
      <c r="I73" s="1233">
        <f t="shared" si="2"/>
        <v>1.8840000000000001</v>
      </c>
      <c r="J73" s="638">
        <v>0.3</v>
      </c>
      <c r="K73" s="1231"/>
      <c r="L73" s="639"/>
      <c r="M73" s="1233">
        <f t="shared" si="3"/>
        <v>1.5840000000000001</v>
      </c>
      <c r="N73" s="639"/>
      <c r="O73" s="639"/>
      <c r="P73" s="639"/>
      <c r="Q73" s="639"/>
      <c r="R73" s="1233">
        <f t="shared" si="4"/>
        <v>0.93059999999999998</v>
      </c>
      <c r="S73" s="1232">
        <f>G73*2340</f>
        <v>15150.564000000002</v>
      </c>
      <c r="T73" s="1232">
        <f t="shared" si="5"/>
        <v>181806.76800000004</v>
      </c>
      <c r="U73" s="1232">
        <f>(H73*2340*12)*10%</f>
        <v>10277.279999999999</v>
      </c>
      <c r="V73" s="1232">
        <f t="shared" si="6"/>
        <v>192084.04800000004</v>
      </c>
      <c r="W73" s="1241"/>
    </row>
    <row r="74" spans="1:23" ht="15">
      <c r="A74" s="176">
        <v>62</v>
      </c>
      <c r="B74" s="1223" t="s">
        <v>315</v>
      </c>
      <c r="C74" s="639"/>
      <c r="D74" s="639"/>
      <c r="E74" s="639"/>
      <c r="F74" s="639"/>
      <c r="G74" s="1233">
        <f t="shared" si="1"/>
        <v>5.9350499999999995</v>
      </c>
      <c r="H74" s="638">
        <v>3.33</v>
      </c>
      <c r="I74" s="1233">
        <f t="shared" si="2"/>
        <v>1.752</v>
      </c>
      <c r="J74" s="638">
        <v>0.3</v>
      </c>
      <c r="K74" s="1231"/>
      <c r="L74" s="639"/>
      <c r="M74" s="1233">
        <f t="shared" si="3"/>
        <v>1.452</v>
      </c>
      <c r="N74" s="639"/>
      <c r="O74" s="639"/>
      <c r="P74" s="639"/>
      <c r="Q74" s="639"/>
      <c r="R74" s="1233">
        <f t="shared" si="4"/>
        <v>0.85304999999999997</v>
      </c>
      <c r="S74" s="1232">
        <f>G74*2340</f>
        <v>13888.016999999998</v>
      </c>
      <c r="T74" s="1232">
        <f t="shared" si="5"/>
        <v>166656.20399999997</v>
      </c>
      <c r="U74" s="1232">
        <f>(H74*2340*12)*10%</f>
        <v>9350.64</v>
      </c>
      <c r="V74" s="1232">
        <f t="shared" si="6"/>
        <v>176006.84399999998</v>
      </c>
      <c r="W74" s="1241"/>
    </row>
    <row r="75" spans="1:23" ht="15">
      <c r="A75" s="187">
        <v>63</v>
      </c>
      <c r="B75" s="1223" t="s">
        <v>316</v>
      </c>
      <c r="C75" s="639"/>
      <c r="D75" s="639"/>
      <c r="E75" s="639"/>
      <c r="F75" s="639"/>
      <c r="G75" s="1233">
        <f t="shared" si="1"/>
        <v>5.4445499999999996</v>
      </c>
      <c r="H75" s="638">
        <v>3.33</v>
      </c>
      <c r="I75" s="1233">
        <f t="shared" si="2"/>
        <v>1.3320000000000001</v>
      </c>
      <c r="J75" s="638">
        <v>0</v>
      </c>
      <c r="K75" s="1231"/>
      <c r="L75" s="639"/>
      <c r="M75" s="1233">
        <f t="shared" si="3"/>
        <v>1.3320000000000001</v>
      </c>
      <c r="N75" s="639"/>
      <c r="O75" s="639"/>
      <c r="P75" s="639"/>
      <c r="Q75" s="639"/>
      <c r="R75" s="1233">
        <f t="shared" si="4"/>
        <v>0.78254999999999997</v>
      </c>
      <c r="S75" s="1232">
        <f>G75*2340</f>
        <v>12740.246999999999</v>
      </c>
      <c r="T75" s="1232">
        <f t="shared" si="5"/>
        <v>152882.96399999998</v>
      </c>
      <c r="U75" s="1232">
        <f>(H75*2340*12)*10%</f>
        <v>9350.64</v>
      </c>
      <c r="V75" s="1232">
        <f t="shared" si="6"/>
        <v>162233.60399999999</v>
      </c>
      <c r="W75" s="1241"/>
    </row>
    <row r="76" spans="1:23" ht="15">
      <c r="A76" s="176">
        <v>64</v>
      </c>
      <c r="B76" s="1223" t="s">
        <v>317</v>
      </c>
      <c r="C76" s="639"/>
      <c r="D76" s="639"/>
      <c r="E76" s="639"/>
      <c r="F76" s="639"/>
      <c r="G76" s="1233">
        <f t="shared" si="1"/>
        <v>5.3300999999999998</v>
      </c>
      <c r="H76" s="638">
        <v>3.26</v>
      </c>
      <c r="I76" s="1233">
        <f t="shared" si="2"/>
        <v>1.304</v>
      </c>
      <c r="J76" s="638">
        <v>0</v>
      </c>
      <c r="K76" s="1231"/>
      <c r="L76" s="639"/>
      <c r="M76" s="1233">
        <f t="shared" si="3"/>
        <v>1.304</v>
      </c>
      <c r="N76" s="639"/>
      <c r="O76" s="639"/>
      <c r="P76" s="639"/>
      <c r="Q76" s="639"/>
      <c r="R76" s="1233">
        <f t="shared" si="4"/>
        <v>0.76609999999999989</v>
      </c>
      <c r="S76" s="1232">
        <f>G76*2340</f>
        <v>12472.433999999999</v>
      </c>
      <c r="T76" s="1232">
        <f t="shared" si="5"/>
        <v>149669.20799999998</v>
      </c>
      <c r="U76" s="1232">
        <f>(H76*2340*12)*10%</f>
        <v>9154.08</v>
      </c>
      <c r="V76" s="1232">
        <f t="shared" si="6"/>
        <v>158823.28799999997</v>
      </c>
      <c r="W76" s="1241"/>
    </row>
    <row r="77" spans="1:23" ht="15">
      <c r="A77" s="187">
        <v>65</v>
      </c>
      <c r="B77" s="1223" t="s">
        <v>318</v>
      </c>
      <c r="C77" s="639"/>
      <c r="D77" s="639"/>
      <c r="E77" s="639"/>
      <c r="F77" s="639"/>
      <c r="G77" s="1233">
        <f t="shared" si="1"/>
        <v>5.3300999999999998</v>
      </c>
      <c r="H77" s="638">
        <v>3.26</v>
      </c>
      <c r="I77" s="1233">
        <f t="shared" si="2"/>
        <v>1.304</v>
      </c>
      <c r="J77" s="638">
        <v>0</v>
      </c>
      <c r="K77" s="1231"/>
      <c r="L77" s="639"/>
      <c r="M77" s="1233">
        <f t="shared" si="3"/>
        <v>1.304</v>
      </c>
      <c r="N77" s="639"/>
      <c r="O77" s="639"/>
      <c r="P77" s="639"/>
      <c r="Q77" s="639"/>
      <c r="R77" s="1233">
        <f t="shared" si="4"/>
        <v>0.76609999999999989</v>
      </c>
      <c r="S77" s="1232">
        <f>G77*2340</f>
        <v>12472.433999999999</v>
      </c>
      <c r="T77" s="1232">
        <f t="shared" si="5"/>
        <v>149669.20799999998</v>
      </c>
      <c r="U77" s="1232">
        <f>(H77*2340*12)*10%</f>
        <v>9154.08</v>
      </c>
      <c r="V77" s="1232">
        <f t="shared" si="6"/>
        <v>158823.28799999997</v>
      </c>
      <c r="W77" s="1241"/>
    </row>
    <row r="78" spans="1:23" ht="15">
      <c r="A78" s="176">
        <v>66</v>
      </c>
      <c r="B78" s="1223" t="s">
        <v>319</v>
      </c>
      <c r="C78" s="639"/>
      <c r="D78" s="639"/>
      <c r="E78" s="639"/>
      <c r="F78" s="639"/>
      <c r="G78" s="1233">
        <f t="shared" ref="G78:G96" si="7">H78+I78+R78</f>
        <v>5.3300999999999998</v>
      </c>
      <c r="H78" s="638">
        <v>3.26</v>
      </c>
      <c r="I78" s="1233">
        <f t="shared" ref="I78:I96" si="8">J78+K78+M78</f>
        <v>1.304</v>
      </c>
      <c r="J78" s="638">
        <v>0</v>
      </c>
      <c r="K78" s="1231"/>
      <c r="L78" s="639"/>
      <c r="M78" s="1233">
        <f t="shared" ref="M78:M96" si="9">(H78+J78+K78)*40%</f>
        <v>1.304</v>
      </c>
      <c r="N78" s="639"/>
      <c r="O78" s="639"/>
      <c r="P78" s="639"/>
      <c r="Q78" s="639"/>
      <c r="R78" s="1233">
        <f t="shared" ref="R78:R96" si="10">(H78+J78+K78)*23.5%</f>
        <v>0.76609999999999989</v>
      </c>
      <c r="S78" s="1232">
        <f>G78*2340</f>
        <v>12472.433999999999</v>
      </c>
      <c r="T78" s="1232">
        <f t="shared" ref="T78:T95" si="11">S78*12</f>
        <v>149669.20799999998</v>
      </c>
      <c r="U78" s="1232">
        <f>(H78*2340*12)*10%</f>
        <v>9154.08</v>
      </c>
      <c r="V78" s="1232">
        <f t="shared" ref="V78:V96" si="12">T78+U78</f>
        <v>158823.28799999997</v>
      </c>
      <c r="W78" s="1241"/>
    </row>
    <row r="79" spans="1:23" ht="15">
      <c r="A79" s="187">
        <v>67</v>
      </c>
      <c r="B79" s="1223" t="s">
        <v>320</v>
      </c>
      <c r="C79" s="639"/>
      <c r="D79" s="639"/>
      <c r="E79" s="639"/>
      <c r="F79" s="639"/>
      <c r="G79" s="1233">
        <f t="shared" si="7"/>
        <v>5.0031000000000008</v>
      </c>
      <c r="H79" s="638">
        <v>3.06</v>
      </c>
      <c r="I79" s="1233">
        <f t="shared" si="8"/>
        <v>1.2240000000000002</v>
      </c>
      <c r="J79" s="638">
        <v>0</v>
      </c>
      <c r="K79" s="1231"/>
      <c r="L79" s="639"/>
      <c r="M79" s="1233">
        <f t="shared" si="9"/>
        <v>1.2240000000000002</v>
      </c>
      <c r="N79" s="639"/>
      <c r="O79" s="639"/>
      <c r="P79" s="639"/>
      <c r="Q79" s="639"/>
      <c r="R79" s="1233">
        <f t="shared" si="10"/>
        <v>0.71909999999999996</v>
      </c>
      <c r="S79" s="1232">
        <f>G79*2340</f>
        <v>11707.254000000003</v>
      </c>
      <c r="T79" s="1232">
        <f t="shared" si="11"/>
        <v>140487.04800000004</v>
      </c>
      <c r="U79" s="1232">
        <f>(H79*2340*12)*10%</f>
        <v>8592.4800000000014</v>
      </c>
      <c r="V79" s="1232">
        <f t="shared" si="12"/>
        <v>149079.52800000005</v>
      </c>
      <c r="W79" s="1241"/>
    </row>
    <row r="80" spans="1:23" ht="15">
      <c r="A80" s="176">
        <v>68</v>
      </c>
      <c r="B80" s="1223" t="s">
        <v>321</v>
      </c>
      <c r="C80" s="639"/>
      <c r="D80" s="639"/>
      <c r="E80" s="639"/>
      <c r="F80" s="639"/>
      <c r="G80" s="1233">
        <f t="shared" si="7"/>
        <v>5.0031000000000008</v>
      </c>
      <c r="H80" s="638">
        <v>3.06</v>
      </c>
      <c r="I80" s="1233">
        <f t="shared" si="8"/>
        <v>1.2240000000000002</v>
      </c>
      <c r="J80" s="638">
        <v>0</v>
      </c>
      <c r="K80" s="1231"/>
      <c r="L80" s="639"/>
      <c r="M80" s="1233">
        <f t="shared" si="9"/>
        <v>1.2240000000000002</v>
      </c>
      <c r="N80" s="639"/>
      <c r="O80" s="639"/>
      <c r="P80" s="639"/>
      <c r="Q80" s="639"/>
      <c r="R80" s="1233">
        <f t="shared" si="10"/>
        <v>0.71909999999999996</v>
      </c>
      <c r="S80" s="1232">
        <f>G80*2340</f>
        <v>11707.254000000003</v>
      </c>
      <c r="T80" s="1232">
        <f t="shared" si="11"/>
        <v>140487.04800000004</v>
      </c>
      <c r="U80" s="1232">
        <f>(H80*2340*12)*10%</f>
        <v>8592.4800000000014</v>
      </c>
      <c r="V80" s="1232">
        <f t="shared" si="12"/>
        <v>149079.52800000005</v>
      </c>
      <c r="W80" s="1241"/>
    </row>
    <row r="81" spans="1:23" ht="15">
      <c r="A81" s="187">
        <v>69</v>
      </c>
      <c r="B81" s="1223" t="s">
        <v>322</v>
      </c>
      <c r="C81" s="639"/>
      <c r="D81" s="639"/>
      <c r="E81" s="639"/>
      <c r="F81" s="639"/>
      <c r="G81" s="1233">
        <f t="shared" si="7"/>
        <v>4.9540499999999996</v>
      </c>
      <c r="H81" s="638">
        <v>3.03</v>
      </c>
      <c r="I81" s="1233">
        <f t="shared" si="8"/>
        <v>1.212</v>
      </c>
      <c r="J81" s="638">
        <v>0</v>
      </c>
      <c r="K81" s="1231"/>
      <c r="L81" s="639"/>
      <c r="M81" s="1233">
        <f t="shared" si="9"/>
        <v>1.212</v>
      </c>
      <c r="N81" s="639"/>
      <c r="O81" s="639"/>
      <c r="P81" s="639"/>
      <c r="Q81" s="639"/>
      <c r="R81" s="1233">
        <f t="shared" si="10"/>
        <v>0.71204999999999996</v>
      </c>
      <c r="S81" s="1232">
        <f>G81*2340</f>
        <v>11592.476999999999</v>
      </c>
      <c r="T81" s="1232">
        <f t="shared" si="11"/>
        <v>139109.72399999999</v>
      </c>
      <c r="U81" s="1232">
        <f>(H81*2340*12)*10%</f>
        <v>8508.24</v>
      </c>
      <c r="V81" s="1232">
        <f t="shared" si="12"/>
        <v>147617.96399999998</v>
      </c>
      <c r="W81" s="1241"/>
    </row>
    <row r="82" spans="1:23" ht="15">
      <c r="A82" s="176">
        <v>70</v>
      </c>
      <c r="B82" s="1223" t="s">
        <v>323</v>
      </c>
      <c r="C82" s="639"/>
      <c r="D82" s="639"/>
      <c r="E82" s="639"/>
      <c r="F82" s="639"/>
      <c r="G82" s="1233">
        <f t="shared" si="7"/>
        <v>4.9540499999999996</v>
      </c>
      <c r="H82" s="638">
        <v>3.03</v>
      </c>
      <c r="I82" s="1233">
        <f t="shared" si="8"/>
        <v>1.212</v>
      </c>
      <c r="J82" s="638">
        <v>0</v>
      </c>
      <c r="K82" s="1231"/>
      <c r="L82" s="639"/>
      <c r="M82" s="1233">
        <f t="shared" si="9"/>
        <v>1.212</v>
      </c>
      <c r="N82" s="639"/>
      <c r="O82" s="639"/>
      <c r="P82" s="639"/>
      <c r="Q82" s="639"/>
      <c r="R82" s="1233">
        <f t="shared" si="10"/>
        <v>0.71204999999999996</v>
      </c>
      <c r="S82" s="1232">
        <f>G82*2340</f>
        <v>11592.476999999999</v>
      </c>
      <c r="T82" s="1232">
        <f t="shared" si="11"/>
        <v>139109.72399999999</v>
      </c>
      <c r="U82" s="1232">
        <f>(H82*2340*12)*10%</f>
        <v>8508.24</v>
      </c>
      <c r="V82" s="1232">
        <f t="shared" si="12"/>
        <v>147617.96399999998</v>
      </c>
      <c r="W82" s="1241"/>
    </row>
    <row r="83" spans="1:23" ht="15">
      <c r="A83" s="187">
        <v>71</v>
      </c>
      <c r="B83" s="1223" t="s">
        <v>324</v>
      </c>
      <c r="C83" s="639"/>
      <c r="D83" s="639"/>
      <c r="E83" s="639"/>
      <c r="F83" s="639"/>
      <c r="G83" s="1233">
        <f t="shared" si="7"/>
        <v>4.9050000000000002</v>
      </c>
      <c r="H83" s="638">
        <v>3</v>
      </c>
      <c r="I83" s="1233">
        <f t="shared" si="8"/>
        <v>1.2000000000000002</v>
      </c>
      <c r="J83" s="638">
        <v>0</v>
      </c>
      <c r="K83" s="1231"/>
      <c r="L83" s="639"/>
      <c r="M83" s="1233">
        <f t="shared" si="9"/>
        <v>1.2000000000000002</v>
      </c>
      <c r="N83" s="639"/>
      <c r="O83" s="639"/>
      <c r="P83" s="639"/>
      <c r="Q83" s="639"/>
      <c r="R83" s="1233">
        <f t="shared" si="10"/>
        <v>0.70499999999999996</v>
      </c>
      <c r="S83" s="1232">
        <f>G83*2340</f>
        <v>11477.7</v>
      </c>
      <c r="T83" s="1232">
        <f t="shared" si="11"/>
        <v>137732.40000000002</v>
      </c>
      <c r="U83" s="1232">
        <f>(H83*2340*12)*10%</f>
        <v>8424</v>
      </c>
      <c r="V83" s="1232">
        <f t="shared" si="12"/>
        <v>146156.40000000002</v>
      </c>
      <c r="W83" s="1241"/>
    </row>
    <row r="84" spans="1:23" ht="15">
      <c r="A84" s="176">
        <v>72</v>
      </c>
      <c r="B84" s="1223" t="s">
        <v>325</v>
      </c>
      <c r="C84" s="639"/>
      <c r="D84" s="639"/>
      <c r="E84" s="639"/>
      <c r="F84" s="639"/>
      <c r="G84" s="1233">
        <f t="shared" si="7"/>
        <v>4.9540499999999996</v>
      </c>
      <c r="H84" s="638">
        <v>3.03</v>
      </c>
      <c r="I84" s="1233">
        <f t="shared" si="8"/>
        <v>1.212</v>
      </c>
      <c r="J84" s="638">
        <v>0</v>
      </c>
      <c r="K84" s="1231"/>
      <c r="L84" s="639"/>
      <c r="M84" s="1233">
        <f t="shared" si="9"/>
        <v>1.212</v>
      </c>
      <c r="N84" s="639"/>
      <c r="O84" s="639"/>
      <c r="P84" s="639"/>
      <c r="Q84" s="639"/>
      <c r="R84" s="1233">
        <f t="shared" si="10"/>
        <v>0.71204999999999996</v>
      </c>
      <c r="S84" s="1232">
        <f>G84*2340</f>
        <v>11592.476999999999</v>
      </c>
      <c r="T84" s="1232">
        <f t="shared" si="11"/>
        <v>139109.72399999999</v>
      </c>
      <c r="U84" s="1232">
        <f>(H84*2340*12)*10%</f>
        <v>8508.24</v>
      </c>
      <c r="V84" s="1232">
        <f t="shared" si="12"/>
        <v>147617.96399999998</v>
      </c>
      <c r="W84" s="1241"/>
    </row>
    <row r="85" spans="1:23" ht="15">
      <c r="A85" s="187">
        <v>73</v>
      </c>
      <c r="B85" s="1223" t="s">
        <v>326</v>
      </c>
      <c r="C85" s="639"/>
      <c r="D85" s="639"/>
      <c r="E85" s="639"/>
      <c r="F85" s="639"/>
      <c r="G85" s="1233">
        <f t="shared" si="7"/>
        <v>4.4472000000000005</v>
      </c>
      <c r="H85" s="638">
        <v>2.72</v>
      </c>
      <c r="I85" s="1233">
        <f t="shared" si="8"/>
        <v>1.0880000000000001</v>
      </c>
      <c r="J85" s="638">
        <v>0</v>
      </c>
      <c r="K85" s="1231"/>
      <c r="L85" s="639"/>
      <c r="M85" s="1233">
        <f t="shared" si="9"/>
        <v>1.0880000000000001</v>
      </c>
      <c r="N85" s="639"/>
      <c r="O85" s="639"/>
      <c r="P85" s="639"/>
      <c r="Q85" s="639"/>
      <c r="R85" s="1233">
        <f t="shared" si="10"/>
        <v>0.63919999999999999</v>
      </c>
      <c r="S85" s="1232">
        <f>G85*2340</f>
        <v>10406.448</v>
      </c>
      <c r="T85" s="1232">
        <f t="shared" si="11"/>
        <v>124877.376</v>
      </c>
      <c r="U85" s="1232">
        <f>(H85*2340*12)*10%</f>
        <v>7637.7600000000011</v>
      </c>
      <c r="V85" s="1232">
        <f t="shared" si="12"/>
        <v>132515.136</v>
      </c>
      <c r="W85" s="1241"/>
    </row>
    <row r="86" spans="1:23" ht="15">
      <c r="A86" s="176">
        <v>74</v>
      </c>
      <c r="B86" s="1223" t="s">
        <v>327</v>
      </c>
      <c r="C86" s="639"/>
      <c r="D86" s="639"/>
      <c r="E86" s="639"/>
      <c r="F86" s="639"/>
      <c r="G86" s="1233">
        <f t="shared" si="7"/>
        <v>4.3654500000000001</v>
      </c>
      <c r="H86" s="638">
        <v>2.67</v>
      </c>
      <c r="I86" s="1233">
        <f t="shared" si="8"/>
        <v>1.0680000000000001</v>
      </c>
      <c r="J86" s="638">
        <v>0</v>
      </c>
      <c r="K86" s="1231"/>
      <c r="L86" s="639"/>
      <c r="M86" s="1233">
        <f t="shared" si="9"/>
        <v>1.0680000000000001</v>
      </c>
      <c r="N86" s="639"/>
      <c r="O86" s="639"/>
      <c r="P86" s="639"/>
      <c r="Q86" s="639"/>
      <c r="R86" s="1233">
        <f t="shared" si="10"/>
        <v>0.62744999999999995</v>
      </c>
      <c r="S86" s="1232">
        <f>G86*2340</f>
        <v>10215.153</v>
      </c>
      <c r="T86" s="1232">
        <f t="shared" si="11"/>
        <v>122581.83600000001</v>
      </c>
      <c r="U86" s="1232">
        <f>(H86*2340*12)*10%</f>
        <v>7497.3600000000006</v>
      </c>
      <c r="V86" s="1232">
        <f t="shared" si="12"/>
        <v>130079.19600000001</v>
      </c>
    </row>
    <row r="87" spans="1:23" ht="15">
      <c r="A87" s="187">
        <v>75</v>
      </c>
      <c r="B87" s="1223" t="s">
        <v>328</v>
      </c>
      <c r="C87" s="639"/>
      <c r="D87" s="639"/>
      <c r="E87" s="639"/>
      <c r="F87" s="639"/>
      <c r="G87" s="1233">
        <f t="shared" si="7"/>
        <v>3.94035</v>
      </c>
      <c r="H87" s="638">
        <v>2.41</v>
      </c>
      <c r="I87" s="1233">
        <f t="shared" si="8"/>
        <v>0.96400000000000008</v>
      </c>
      <c r="J87" s="638">
        <v>0</v>
      </c>
      <c r="K87" s="1231"/>
      <c r="L87" s="639"/>
      <c r="M87" s="1233">
        <f t="shared" si="9"/>
        <v>0.96400000000000008</v>
      </c>
      <c r="N87" s="639"/>
      <c r="O87" s="639"/>
      <c r="P87" s="639"/>
      <c r="Q87" s="639"/>
      <c r="R87" s="1233">
        <f t="shared" si="10"/>
        <v>0.56635000000000002</v>
      </c>
      <c r="S87" s="1232">
        <f>G87*2340</f>
        <v>9220.4189999999999</v>
      </c>
      <c r="T87" s="1232">
        <f t="shared" si="11"/>
        <v>110645.02799999999</v>
      </c>
      <c r="U87" s="1232">
        <f>(H87*2340*12)*10%</f>
        <v>6767.2800000000007</v>
      </c>
      <c r="V87" s="1232">
        <f t="shared" si="12"/>
        <v>117412.30799999999</v>
      </c>
    </row>
    <row r="88" spans="1:23" ht="15">
      <c r="A88" s="176">
        <v>76</v>
      </c>
      <c r="B88" s="1223" t="s">
        <v>229</v>
      </c>
      <c r="C88" s="639"/>
      <c r="D88" s="639"/>
      <c r="E88" s="639"/>
      <c r="F88" s="639"/>
      <c r="G88" s="1233">
        <f t="shared" si="7"/>
        <v>3.8258999999999999</v>
      </c>
      <c r="H88" s="638">
        <v>2.34</v>
      </c>
      <c r="I88" s="1233">
        <f t="shared" si="8"/>
        <v>0.93599999999999994</v>
      </c>
      <c r="J88" s="638">
        <v>0</v>
      </c>
      <c r="K88" s="1231"/>
      <c r="L88" s="639"/>
      <c r="M88" s="1233">
        <f t="shared" si="9"/>
        <v>0.93599999999999994</v>
      </c>
      <c r="N88" s="639"/>
      <c r="O88" s="639"/>
      <c r="P88" s="639"/>
      <c r="Q88" s="639"/>
      <c r="R88" s="1233">
        <f t="shared" si="10"/>
        <v>0.54989999999999994</v>
      </c>
      <c r="S88" s="1232">
        <f>G88*2340</f>
        <v>8952.6059999999998</v>
      </c>
      <c r="T88" s="1232">
        <f t="shared" si="11"/>
        <v>107431.272</v>
      </c>
      <c r="U88" s="1232">
        <f>(H88*2340*12)*10%</f>
        <v>6570.72</v>
      </c>
      <c r="V88" s="1232">
        <f t="shared" si="12"/>
        <v>114001.992</v>
      </c>
    </row>
    <row r="89" spans="1:23" ht="15">
      <c r="A89" s="187">
        <v>77</v>
      </c>
      <c r="B89" s="1223" t="s">
        <v>329</v>
      </c>
      <c r="C89" s="639"/>
      <c r="D89" s="639"/>
      <c r="E89" s="639"/>
      <c r="F89" s="639"/>
      <c r="G89" s="1233">
        <f t="shared" si="7"/>
        <v>3.8258999999999999</v>
      </c>
      <c r="H89" s="638">
        <v>2.34</v>
      </c>
      <c r="I89" s="1233">
        <f t="shared" si="8"/>
        <v>0.93599999999999994</v>
      </c>
      <c r="J89" s="638">
        <v>0</v>
      </c>
      <c r="K89" s="1231"/>
      <c r="L89" s="639"/>
      <c r="M89" s="1233">
        <f t="shared" si="9"/>
        <v>0.93599999999999994</v>
      </c>
      <c r="N89" s="639"/>
      <c r="O89" s="639"/>
      <c r="P89" s="639"/>
      <c r="Q89" s="639"/>
      <c r="R89" s="1233">
        <f t="shared" si="10"/>
        <v>0.54989999999999994</v>
      </c>
      <c r="S89" s="1232">
        <f>G89*2340</f>
        <v>8952.6059999999998</v>
      </c>
      <c r="T89" s="1232">
        <f t="shared" si="11"/>
        <v>107431.272</v>
      </c>
      <c r="U89" s="1232">
        <f>(H89*2340*12)*10%</f>
        <v>6570.72</v>
      </c>
      <c r="V89" s="1232">
        <f t="shared" si="12"/>
        <v>114001.992</v>
      </c>
    </row>
    <row r="90" spans="1:23" ht="15">
      <c r="A90" s="176">
        <v>78</v>
      </c>
      <c r="B90" s="1223" t="s">
        <v>330</v>
      </c>
      <c r="C90" s="639"/>
      <c r="D90" s="639"/>
      <c r="E90" s="639"/>
      <c r="F90" s="639"/>
      <c r="G90" s="1233">
        <f t="shared" si="7"/>
        <v>3.8258999999999999</v>
      </c>
      <c r="H90" s="638">
        <v>2.34</v>
      </c>
      <c r="I90" s="1233">
        <f t="shared" si="8"/>
        <v>0.93599999999999994</v>
      </c>
      <c r="J90" s="638">
        <v>0</v>
      </c>
      <c r="K90" s="1231"/>
      <c r="L90" s="639"/>
      <c r="M90" s="1233">
        <f t="shared" si="9"/>
        <v>0.93599999999999994</v>
      </c>
      <c r="N90" s="639"/>
      <c r="O90" s="639"/>
      <c r="P90" s="639"/>
      <c r="Q90" s="639"/>
      <c r="R90" s="1233">
        <f t="shared" si="10"/>
        <v>0.54989999999999994</v>
      </c>
      <c r="S90" s="1232">
        <f>G90*2340</f>
        <v>8952.6059999999998</v>
      </c>
      <c r="T90" s="1232">
        <f t="shared" si="11"/>
        <v>107431.272</v>
      </c>
      <c r="U90" s="1232">
        <f>(H90*2340*12)*10%</f>
        <v>6570.72</v>
      </c>
      <c r="V90" s="1232">
        <f t="shared" si="12"/>
        <v>114001.992</v>
      </c>
    </row>
    <row r="91" spans="1:23" ht="15">
      <c r="A91" s="187">
        <v>79</v>
      </c>
      <c r="B91" s="1223" t="s">
        <v>331</v>
      </c>
      <c r="C91" s="639"/>
      <c r="D91" s="639"/>
      <c r="E91" s="639"/>
      <c r="F91" s="639"/>
      <c r="G91" s="1233">
        <f t="shared" si="7"/>
        <v>3.8258999999999999</v>
      </c>
      <c r="H91" s="638">
        <v>2.34</v>
      </c>
      <c r="I91" s="1233">
        <f t="shared" si="8"/>
        <v>0.93599999999999994</v>
      </c>
      <c r="J91" s="638">
        <v>0</v>
      </c>
      <c r="K91" s="1231"/>
      <c r="L91" s="639"/>
      <c r="M91" s="1233">
        <f t="shared" si="9"/>
        <v>0.93599999999999994</v>
      </c>
      <c r="N91" s="639"/>
      <c r="O91" s="639"/>
      <c r="P91" s="639"/>
      <c r="Q91" s="639"/>
      <c r="R91" s="1233">
        <f t="shared" si="10"/>
        <v>0.54989999999999994</v>
      </c>
      <c r="S91" s="1232">
        <f>G91*2340</f>
        <v>8952.6059999999998</v>
      </c>
      <c r="T91" s="1232">
        <f t="shared" si="11"/>
        <v>107431.272</v>
      </c>
      <c r="U91" s="1232">
        <f>(H91*2340*12)*10%</f>
        <v>6570.72</v>
      </c>
      <c r="V91" s="1232">
        <f t="shared" si="12"/>
        <v>114001.992</v>
      </c>
    </row>
    <row r="92" spans="1:23" ht="15">
      <c r="A92" s="176">
        <v>80</v>
      </c>
      <c r="B92" s="1223" t="s">
        <v>332</v>
      </c>
      <c r="C92" s="639"/>
      <c r="D92" s="639"/>
      <c r="E92" s="639"/>
      <c r="F92" s="639"/>
      <c r="G92" s="1233">
        <f t="shared" si="7"/>
        <v>3.8258999999999999</v>
      </c>
      <c r="H92" s="638">
        <v>2.34</v>
      </c>
      <c r="I92" s="1233">
        <f t="shared" si="8"/>
        <v>0.93599999999999994</v>
      </c>
      <c r="J92" s="638">
        <v>0</v>
      </c>
      <c r="K92" s="1231"/>
      <c r="L92" s="639"/>
      <c r="M92" s="1233">
        <f t="shared" si="9"/>
        <v>0.93599999999999994</v>
      </c>
      <c r="N92" s="639"/>
      <c r="O92" s="639"/>
      <c r="P92" s="639"/>
      <c r="Q92" s="639"/>
      <c r="R92" s="1233">
        <f t="shared" si="10"/>
        <v>0.54989999999999994</v>
      </c>
      <c r="S92" s="1232">
        <f>G92*2340</f>
        <v>8952.6059999999998</v>
      </c>
      <c r="T92" s="1232">
        <f t="shared" si="11"/>
        <v>107431.272</v>
      </c>
      <c r="U92" s="1232">
        <f>(H92*2340*12)*10%</f>
        <v>6570.72</v>
      </c>
      <c r="V92" s="1232">
        <f t="shared" si="12"/>
        <v>114001.992</v>
      </c>
    </row>
    <row r="93" spans="1:23" ht="15">
      <c r="A93" s="187">
        <v>81</v>
      </c>
      <c r="B93" s="1223" t="s">
        <v>333</v>
      </c>
      <c r="C93" s="639"/>
      <c r="D93" s="639"/>
      <c r="E93" s="639"/>
      <c r="F93" s="639"/>
      <c r="G93" s="1233">
        <f t="shared" si="7"/>
        <v>3.8258999999999999</v>
      </c>
      <c r="H93" s="638">
        <v>2.34</v>
      </c>
      <c r="I93" s="1233">
        <f t="shared" si="8"/>
        <v>0.93599999999999994</v>
      </c>
      <c r="J93" s="638">
        <v>0</v>
      </c>
      <c r="K93" s="1231"/>
      <c r="L93" s="639"/>
      <c r="M93" s="1233">
        <f t="shared" si="9"/>
        <v>0.93599999999999994</v>
      </c>
      <c r="N93" s="639"/>
      <c r="O93" s="639"/>
      <c r="P93" s="639"/>
      <c r="Q93" s="639"/>
      <c r="R93" s="1233">
        <f t="shared" si="10"/>
        <v>0.54989999999999994</v>
      </c>
      <c r="S93" s="1232">
        <f>G93*2340</f>
        <v>8952.6059999999998</v>
      </c>
      <c r="T93" s="1232">
        <f t="shared" si="11"/>
        <v>107431.272</v>
      </c>
      <c r="U93" s="1232">
        <f>(H93*2340*12)*10%</f>
        <v>6570.72</v>
      </c>
      <c r="V93" s="1232">
        <f t="shared" si="12"/>
        <v>114001.992</v>
      </c>
    </row>
    <row r="94" spans="1:23" ht="15">
      <c r="A94" s="176">
        <v>82</v>
      </c>
      <c r="B94" s="1223" t="s">
        <v>334</v>
      </c>
      <c r="C94" s="639"/>
      <c r="D94" s="639"/>
      <c r="E94" s="639"/>
      <c r="F94" s="639"/>
      <c r="G94" s="1233">
        <f t="shared" si="7"/>
        <v>3.2520150000000001</v>
      </c>
      <c r="H94" s="808">
        <v>1.9890000000000001</v>
      </c>
      <c r="I94" s="1233">
        <f t="shared" si="8"/>
        <v>0.79560000000000008</v>
      </c>
      <c r="J94" s="638">
        <v>0</v>
      </c>
      <c r="K94" s="1231"/>
      <c r="L94" s="639"/>
      <c r="M94" s="1233">
        <f t="shared" si="9"/>
        <v>0.79560000000000008</v>
      </c>
      <c r="N94" s="639"/>
      <c r="O94" s="639"/>
      <c r="P94" s="639"/>
      <c r="Q94" s="639"/>
      <c r="R94" s="1233">
        <f t="shared" si="10"/>
        <v>0.46741500000000002</v>
      </c>
      <c r="S94" s="1232">
        <f>G94*2340</f>
        <v>7609.7151000000003</v>
      </c>
      <c r="T94" s="1232">
        <f t="shared" si="11"/>
        <v>91316.581200000001</v>
      </c>
      <c r="U94" s="1232">
        <f>(H94*2340*12)*10%</f>
        <v>5585.112000000001</v>
      </c>
      <c r="V94" s="1232">
        <f t="shared" si="12"/>
        <v>96901.693200000009</v>
      </c>
    </row>
    <row r="95" spans="1:23" ht="15">
      <c r="A95" s="187">
        <v>83</v>
      </c>
      <c r="B95" s="1223" t="s">
        <v>335</v>
      </c>
      <c r="C95" s="639"/>
      <c r="D95" s="639"/>
      <c r="E95" s="639"/>
      <c r="F95" s="639"/>
      <c r="G95" s="1233">
        <f t="shared" si="7"/>
        <v>3.2520150000000001</v>
      </c>
      <c r="H95" s="808">
        <v>1.9890000000000001</v>
      </c>
      <c r="I95" s="1233">
        <f t="shared" si="8"/>
        <v>0.79560000000000008</v>
      </c>
      <c r="J95" s="638">
        <v>0</v>
      </c>
      <c r="K95" s="1231"/>
      <c r="L95" s="639"/>
      <c r="M95" s="1233">
        <f t="shared" si="9"/>
        <v>0.79560000000000008</v>
      </c>
      <c r="N95" s="639"/>
      <c r="O95" s="639"/>
      <c r="P95" s="639"/>
      <c r="Q95" s="639"/>
      <c r="R95" s="1233">
        <f t="shared" si="10"/>
        <v>0.46741500000000002</v>
      </c>
      <c r="S95" s="1232">
        <f>G95*2340</f>
        <v>7609.7151000000003</v>
      </c>
      <c r="T95" s="1232">
        <f t="shared" si="11"/>
        <v>91316.581200000001</v>
      </c>
      <c r="U95" s="1232">
        <f>(H95*2340*12)*10%</f>
        <v>5585.112000000001</v>
      </c>
      <c r="V95" s="1232">
        <f t="shared" si="12"/>
        <v>96901.693200000009</v>
      </c>
    </row>
    <row r="96" spans="1:23">
      <c r="B96" s="639" t="s">
        <v>13</v>
      </c>
      <c r="C96" s="639"/>
      <c r="D96" s="639"/>
      <c r="E96" s="639"/>
      <c r="F96" s="639"/>
      <c r="G96" s="1233">
        <f t="shared" si="7"/>
        <v>513.17875799999979</v>
      </c>
      <c r="H96" s="1236">
        <f>SUM(H13:H95)</f>
        <v>304.89799999999991</v>
      </c>
      <c r="I96" s="1233">
        <f t="shared" si="8"/>
        <v>134.52111999999994</v>
      </c>
      <c r="J96" s="1237">
        <f>SUM(J13:J95)</f>
        <v>5.3999999999999986</v>
      </c>
      <c r="K96" s="1236">
        <f>SUM(K13:K95)</f>
        <v>3.5728</v>
      </c>
      <c r="L96" s="639"/>
      <c r="M96" s="1233">
        <f t="shared" si="9"/>
        <v>125.54831999999995</v>
      </c>
      <c r="N96" s="639"/>
      <c r="O96" s="639"/>
      <c r="P96" s="639"/>
      <c r="Q96" s="639"/>
      <c r="R96" s="1233">
        <f t="shared" si="10"/>
        <v>73.759637999999967</v>
      </c>
      <c r="S96" s="1232">
        <f>G96*2340</f>
        <v>1200838.2937199995</v>
      </c>
      <c r="T96" s="1232">
        <f>SUM(T13:T95)</f>
        <v>14410059.524640011</v>
      </c>
      <c r="U96" s="1232">
        <f>(H96*2340*12)*10%</f>
        <v>856153.5839999998</v>
      </c>
      <c r="V96" s="1232">
        <f t="shared" si="12"/>
        <v>15266213.108640011</v>
      </c>
    </row>
    <row r="98" spans="2:22" ht="18.75">
      <c r="B98" s="860" t="s">
        <v>443</v>
      </c>
      <c r="C98" s="860"/>
      <c r="D98" s="860"/>
      <c r="E98" s="860"/>
      <c r="F98" s="860"/>
      <c r="G98" s="860"/>
      <c r="H98" s="860"/>
      <c r="I98" s="860"/>
      <c r="J98" s="860"/>
      <c r="K98" s="860"/>
      <c r="L98" s="860"/>
      <c r="M98" s="860"/>
      <c r="N98" s="860"/>
      <c r="O98" s="860"/>
      <c r="P98" s="860"/>
      <c r="Q98" s="860"/>
      <c r="R98" s="860"/>
      <c r="S98" s="860"/>
      <c r="T98" s="860"/>
      <c r="U98" s="860"/>
      <c r="V98" s="860"/>
    </row>
    <row r="287" spans="1:22" ht="15.75" customHeight="1">
      <c r="A287" s="118" t="s">
        <v>20</v>
      </c>
      <c r="B287" s="119"/>
      <c r="C287" s="119"/>
      <c r="D287" s="119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</row>
    <row r="288" spans="1:22" ht="20.25" customHeight="1">
      <c r="A288" s="114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20"/>
      <c r="T288" s="120"/>
      <c r="U288" s="121"/>
      <c r="V288" s="121"/>
    </row>
    <row r="289" spans="1:22" ht="18.75" customHeight="1">
      <c r="A289" s="115" t="s">
        <v>21</v>
      </c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</row>
  </sheetData>
  <mergeCells count="21">
    <mergeCell ref="T6:U6"/>
    <mergeCell ref="R1:S1"/>
    <mergeCell ref="P6:R6"/>
    <mergeCell ref="C4:U4"/>
    <mergeCell ref="C5:U5"/>
    <mergeCell ref="A1:D1"/>
    <mergeCell ref="A2:D2"/>
    <mergeCell ref="A8:A10"/>
    <mergeCell ref="B8:B10"/>
    <mergeCell ref="C8:C10"/>
    <mergeCell ref="D8:D10"/>
    <mergeCell ref="B98:V98"/>
    <mergeCell ref="U8:U10"/>
    <mergeCell ref="V8:V10"/>
    <mergeCell ref="G9:G10"/>
    <mergeCell ref="H9:H10"/>
    <mergeCell ref="I9:I10"/>
    <mergeCell ref="J9:P9"/>
    <mergeCell ref="Q9:Q10"/>
    <mergeCell ref="G8:R8"/>
    <mergeCell ref="S8:T9"/>
  </mergeCells>
  <phoneticPr fontId="17" type="noConversion"/>
  <conditionalFormatting sqref="K13:K33 B13:B95 J13:J94 K35:K94">
    <cfRule type="expression" dxfId="15" priority="7" stopIfTrue="1">
      <formula>$C13=""</formula>
    </cfRule>
  </conditionalFormatting>
  <conditionalFormatting sqref="H13:H18 H20:H86 H88:H95">
    <cfRule type="expression" dxfId="14" priority="6" stopIfTrue="1">
      <formula>$C12=""</formula>
    </cfRule>
  </conditionalFormatting>
  <conditionalFormatting sqref="J95">
    <cfRule type="expression" dxfId="13" priority="5" stopIfTrue="1">
      <formula>$C95=""</formula>
    </cfRule>
  </conditionalFormatting>
  <conditionalFormatting sqref="K95">
    <cfRule type="expression" dxfId="12" priority="3" stopIfTrue="1">
      <formula>$C95=""</formula>
    </cfRule>
  </conditionalFormatting>
  <conditionalFormatting sqref="K34">
    <cfRule type="expression" dxfId="11" priority="1" stopIfTrue="1">
      <formula>$C34=""</formula>
    </cfRule>
  </conditionalFormatting>
  <conditionalFormatting sqref="H19 H87">
    <cfRule type="expression" dxfId="10" priority="11" stopIfTrue="1">
      <formula>#REF!=""</formula>
    </cfRule>
  </conditionalFormatting>
  <pageMargins left="0" right="0" top="0" bottom="0" header="0.23622047244094499" footer="0.35433070866141703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opLeftCell="A5" workbookViewId="0">
      <selection activeCell="W25" sqref="W25"/>
    </sheetView>
  </sheetViews>
  <sheetFormatPr defaultRowHeight="15"/>
  <cols>
    <col min="1" max="1" width="3.44140625" customWidth="1"/>
    <col min="2" max="2" width="15.77734375" customWidth="1"/>
    <col min="3" max="3" width="4.5546875" customWidth="1"/>
    <col min="4" max="4" width="4.44140625" customWidth="1"/>
    <col min="5" max="5" width="6.88671875" customWidth="1"/>
    <col min="6" max="6" width="5" customWidth="1"/>
    <col min="7" max="7" width="5.33203125" customWidth="1"/>
    <col min="8" max="8" width="5.109375" customWidth="1"/>
    <col min="9" max="9" width="4.109375" customWidth="1"/>
    <col min="10" max="10" width="2.44140625" customWidth="1"/>
    <col min="11" max="11" width="6.33203125" customWidth="1"/>
    <col min="12" max="12" width="4.88671875" customWidth="1"/>
    <col min="13" max="13" width="5.109375" customWidth="1"/>
    <col min="14" max="14" width="1.21875" customWidth="1"/>
    <col min="15" max="15" width="5.88671875" customWidth="1"/>
    <col min="16" max="16" width="5.33203125" customWidth="1"/>
    <col min="17" max="17" width="4.77734375" customWidth="1"/>
    <col min="18" max="18" width="6.6640625" customWidth="1"/>
    <col min="19" max="19" width="7.109375" customWidth="1"/>
    <col min="20" max="20" width="6.21875" customWidth="1"/>
    <col min="21" max="21" width="9.21875" customWidth="1"/>
  </cols>
  <sheetData>
    <row r="1" spans="1:21" ht="15.75">
      <c r="A1" s="837" t="s">
        <v>49</v>
      </c>
      <c r="B1" s="837"/>
      <c r="C1" s="837"/>
      <c r="D1" s="837"/>
      <c r="E1" s="837"/>
      <c r="F1" s="73"/>
      <c r="G1" s="73"/>
      <c r="H1" s="73"/>
      <c r="I1" s="73"/>
      <c r="J1" s="73"/>
      <c r="L1" s="99"/>
      <c r="M1" s="83"/>
      <c r="N1" s="83"/>
      <c r="O1" s="3"/>
      <c r="P1" s="3"/>
      <c r="Q1" s="84"/>
      <c r="R1" s="84"/>
      <c r="S1" s="84"/>
      <c r="T1" s="811" t="s">
        <v>33</v>
      </c>
      <c r="U1" s="24"/>
    </row>
    <row r="2" spans="1:21">
      <c r="A2" s="1246" t="s">
        <v>444</v>
      </c>
      <c r="B2" s="1246"/>
      <c r="C2" s="1246"/>
      <c r="D2" s="105"/>
      <c r="E2" s="73"/>
      <c r="F2" s="73"/>
      <c r="G2" s="73"/>
      <c r="H2" s="73"/>
      <c r="I2" s="73"/>
      <c r="J2" s="73"/>
      <c r="K2" s="73"/>
      <c r="L2" s="93"/>
      <c r="M2" s="93"/>
      <c r="N2" s="93"/>
      <c r="O2" s="3"/>
      <c r="P2" s="3"/>
      <c r="Q2" s="84"/>
      <c r="R2" s="3"/>
      <c r="S2" s="84"/>
      <c r="T2" s="24"/>
      <c r="U2" s="24"/>
    </row>
    <row r="3" spans="1:21" ht="15.75">
      <c r="A3" s="228"/>
      <c r="B3" s="228"/>
      <c r="C3" s="228"/>
      <c r="D3" s="105"/>
      <c r="E3" s="73"/>
      <c r="F3" s="73"/>
      <c r="G3" s="73"/>
      <c r="H3" s="73"/>
      <c r="I3" s="73"/>
      <c r="J3" s="73"/>
      <c r="K3" s="73"/>
      <c r="L3" s="93"/>
      <c r="M3" s="93"/>
      <c r="N3" s="93"/>
      <c r="O3" s="3"/>
      <c r="P3" s="3"/>
      <c r="Q3" s="84"/>
      <c r="R3" s="84"/>
      <c r="S3" s="84"/>
      <c r="T3" s="24"/>
      <c r="U3" s="24"/>
    </row>
    <row r="4" spans="1:21" ht="18.75">
      <c r="A4" s="84"/>
      <c r="B4" s="839" t="s">
        <v>189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839"/>
      <c r="O4" s="839"/>
      <c r="P4" s="839"/>
      <c r="Q4" s="839"/>
      <c r="R4" s="839"/>
      <c r="S4" s="839"/>
      <c r="T4" s="839"/>
      <c r="U4" s="839"/>
    </row>
    <row r="5" spans="1:21" ht="17.25">
      <c r="A5" s="84"/>
      <c r="B5" s="840" t="s">
        <v>157</v>
      </c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840"/>
      <c r="O5" s="840"/>
      <c r="P5" s="840"/>
      <c r="Q5" s="840"/>
      <c r="R5" s="840"/>
      <c r="S5" s="840"/>
      <c r="T5" s="840"/>
      <c r="U5" s="840"/>
    </row>
    <row r="6" spans="1:21" ht="15.75">
      <c r="A6" s="4"/>
      <c r="B6" s="78"/>
      <c r="C6" s="106"/>
      <c r="D6" s="72"/>
      <c r="E6" s="73"/>
      <c r="F6" s="73"/>
      <c r="G6" s="73"/>
      <c r="H6" s="73"/>
      <c r="I6" s="73"/>
      <c r="J6" s="73"/>
      <c r="K6" s="73"/>
      <c r="L6" s="73"/>
      <c r="M6" s="103"/>
      <c r="N6" s="103"/>
      <c r="O6" s="1247" t="s">
        <v>40</v>
      </c>
      <c r="P6" s="1247"/>
      <c r="Q6" s="24"/>
      <c r="R6" s="84"/>
      <c r="S6" s="84"/>
      <c r="T6" s="24"/>
      <c r="U6" s="24"/>
    </row>
    <row r="7" spans="1:21">
      <c r="A7" s="850" t="s">
        <v>12</v>
      </c>
      <c r="B7" s="850" t="s">
        <v>50</v>
      </c>
      <c r="C7" s="1193" t="s">
        <v>158</v>
      </c>
      <c r="D7" s="1193" t="s">
        <v>190</v>
      </c>
      <c r="E7" s="1194" t="s">
        <v>203</v>
      </c>
      <c r="F7" s="1195"/>
      <c r="G7" s="1195"/>
      <c r="H7" s="1195"/>
      <c r="I7" s="1195"/>
      <c r="J7" s="1195"/>
      <c r="K7" s="1195"/>
      <c r="L7" s="1195"/>
      <c r="M7" s="1195"/>
      <c r="N7" s="1195"/>
      <c r="O7" s="1195"/>
      <c r="P7" s="1195"/>
      <c r="Q7" s="1195"/>
      <c r="R7" s="1196" t="s">
        <v>205</v>
      </c>
      <c r="S7" s="1197"/>
      <c r="T7" s="1198" t="s">
        <v>159</v>
      </c>
      <c r="U7" s="1198" t="s">
        <v>254</v>
      </c>
    </row>
    <row r="8" spans="1:21">
      <c r="A8" s="850"/>
      <c r="B8" s="850"/>
      <c r="C8" s="1193"/>
      <c r="D8" s="1193"/>
      <c r="E8" s="1199" t="s">
        <v>211</v>
      </c>
      <c r="F8" s="1199" t="s">
        <v>212</v>
      </c>
      <c r="G8" s="1199" t="s">
        <v>28</v>
      </c>
      <c r="H8" s="1200" t="s">
        <v>31</v>
      </c>
      <c r="I8" s="1201"/>
      <c r="J8" s="1201"/>
      <c r="K8" s="1201"/>
      <c r="L8" s="1201"/>
      <c r="M8" s="1201"/>
      <c r="N8" s="1202"/>
      <c r="O8" s="1194" t="s">
        <v>201</v>
      </c>
      <c r="P8" s="1195"/>
      <c r="Q8" s="1245"/>
      <c r="R8" s="1203"/>
      <c r="S8" s="1204"/>
      <c r="T8" s="1205"/>
      <c r="U8" s="1205"/>
    </row>
    <row r="9" spans="1:21" ht="99.75" customHeight="1">
      <c r="A9" s="850"/>
      <c r="B9" s="850"/>
      <c r="C9" s="1193"/>
      <c r="D9" s="1193"/>
      <c r="E9" s="1206"/>
      <c r="F9" s="1206"/>
      <c r="G9" s="1206"/>
      <c r="H9" s="821" t="s">
        <v>194</v>
      </c>
      <c r="I9" s="821" t="s">
        <v>195</v>
      </c>
      <c r="J9" s="821" t="s">
        <v>213</v>
      </c>
      <c r="K9" s="821" t="s">
        <v>214</v>
      </c>
      <c r="L9" s="1207" t="s">
        <v>197</v>
      </c>
      <c r="M9" s="1207" t="s">
        <v>199</v>
      </c>
      <c r="N9" s="1207" t="s">
        <v>200</v>
      </c>
      <c r="O9" s="1207" t="s">
        <v>34</v>
      </c>
      <c r="P9" s="1130" t="s">
        <v>30</v>
      </c>
      <c r="Q9" s="1130" t="s">
        <v>35</v>
      </c>
      <c r="R9" s="1209" t="s">
        <v>206</v>
      </c>
      <c r="S9" s="1209" t="s">
        <v>210</v>
      </c>
      <c r="T9" s="1205"/>
      <c r="U9" s="1205"/>
    </row>
    <row r="10" spans="1:21" ht="42.75">
      <c r="A10" s="29" t="s">
        <v>16</v>
      </c>
      <c r="B10" s="29" t="s">
        <v>17</v>
      </c>
      <c r="C10" s="178">
        <v>1</v>
      </c>
      <c r="D10" s="178">
        <v>2</v>
      </c>
      <c r="E10" s="188" t="s">
        <v>161</v>
      </c>
      <c r="F10" s="188">
        <v>4</v>
      </c>
      <c r="G10" s="188" t="s">
        <v>100</v>
      </c>
      <c r="H10" s="188">
        <v>6</v>
      </c>
      <c r="I10" s="188">
        <v>7</v>
      </c>
      <c r="J10" s="188">
        <v>8</v>
      </c>
      <c r="K10" s="188">
        <v>9</v>
      </c>
      <c r="L10" s="188">
        <v>10</v>
      </c>
      <c r="M10" s="188">
        <v>11</v>
      </c>
      <c r="N10" s="188">
        <v>12</v>
      </c>
      <c r="O10" s="188" t="s">
        <v>104</v>
      </c>
      <c r="P10" s="188" t="s">
        <v>105</v>
      </c>
      <c r="Q10" s="188" t="s">
        <v>103</v>
      </c>
      <c r="R10" s="610" t="s">
        <v>218</v>
      </c>
      <c r="S10" s="610" t="s">
        <v>208</v>
      </c>
      <c r="T10" s="603" t="s">
        <v>219</v>
      </c>
      <c r="U10" s="616" t="s">
        <v>209</v>
      </c>
    </row>
    <row r="11" spans="1:21">
      <c r="A11" s="29"/>
      <c r="B11" s="29"/>
      <c r="C11" s="1117">
        <v>7</v>
      </c>
      <c r="D11" s="1117">
        <v>7</v>
      </c>
      <c r="E11" s="1118"/>
      <c r="F11" s="1118"/>
      <c r="G11" s="1118"/>
      <c r="H11" s="1118"/>
      <c r="I11" s="1118"/>
      <c r="J11" s="1118"/>
      <c r="K11" s="1118"/>
      <c r="L11" s="1119"/>
      <c r="M11" s="1118"/>
      <c r="N11" s="1118"/>
      <c r="O11" s="1118"/>
      <c r="P11" s="1118"/>
      <c r="Q11" s="1118"/>
      <c r="R11" s="820"/>
      <c r="S11" s="820"/>
      <c r="T11" s="1121"/>
      <c r="U11" s="1122"/>
    </row>
    <row r="12" spans="1:21" ht="21.95" customHeight="1">
      <c r="A12" s="1064">
        <v>1</v>
      </c>
      <c r="B12" s="1249" t="s">
        <v>458</v>
      </c>
      <c r="C12" s="617"/>
      <c r="D12" s="617"/>
      <c r="E12" s="1132">
        <f>F12+G12+Q12</f>
        <v>7.5147999999999993</v>
      </c>
      <c r="F12" s="1250">
        <v>5.08</v>
      </c>
      <c r="G12" s="1127">
        <f>H12+L12+M12</f>
        <v>1.1000000000000001</v>
      </c>
      <c r="H12" s="1128">
        <f>0.6</f>
        <v>0.6</v>
      </c>
      <c r="I12" s="1129"/>
      <c r="J12" s="1130"/>
      <c r="K12" s="1131">
        <f>(F12+H12)*40%</f>
        <v>2.2719999999999998</v>
      </c>
      <c r="L12" s="1131">
        <v>0.2</v>
      </c>
      <c r="M12" s="1131">
        <v>0.3</v>
      </c>
      <c r="N12" s="1131"/>
      <c r="O12" s="1132">
        <f>(F12+H12)*22.5%</f>
        <v>1.278</v>
      </c>
      <c r="P12" s="1132">
        <f>(F12+H12)*1%</f>
        <v>5.6799999999999996E-2</v>
      </c>
      <c r="Q12" s="1132">
        <f>O12+P12</f>
        <v>1.3348</v>
      </c>
      <c r="R12" s="1133">
        <f>E12*2340</f>
        <v>17584.631999999998</v>
      </c>
      <c r="S12" s="1133">
        <f>R12*12</f>
        <v>211015.58399999997</v>
      </c>
      <c r="T12" s="1134">
        <f>(F12*2340*12)*10%</f>
        <v>14264.640000000003</v>
      </c>
      <c r="U12" s="1089">
        <f>S12+T12</f>
        <v>225280.22399999999</v>
      </c>
    </row>
    <row r="13" spans="1:21" ht="21.95" customHeight="1">
      <c r="A13" s="1065">
        <v>2</v>
      </c>
      <c r="B13" s="1249" t="s">
        <v>415</v>
      </c>
      <c r="C13" s="618"/>
      <c r="D13" s="618"/>
      <c r="E13" s="1132">
        <f t="shared" ref="E13:E19" si="0">F13+G13+Q13</f>
        <v>5.829200000000001</v>
      </c>
      <c r="F13" s="1250">
        <v>4.32</v>
      </c>
      <c r="G13" s="1127">
        <f t="shared" ref="G13:G19" si="1">H13+L13+M13</f>
        <v>0.4</v>
      </c>
      <c r="H13" s="1136">
        <v>0.4</v>
      </c>
      <c r="I13" s="1137"/>
      <c r="J13" s="1138"/>
      <c r="K13" s="1131">
        <f>(F13+H13)*30%</f>
        <v>1.4160000000000001</v>
      </c>
      <c r="L13" s="1131"/>
      <c r="M13" s="1139"/>
      <c r="N13" s="1139"/>
      <c r="O13" s="1132">
        <f t="shared" ref="O13:O19" si="2">(F13+H13)*22.5%</f>
        <v>1.0620000000000003</v>
      </c>
      <c r="P13" s="1132">
        <f t="shared" ref="P13:P19" si="3">(F13+H13)*1%</f>
        <v>4.7200000000000006E-2</v>
      </c>
      <c r="Q13" s="1132">
        <f t="shared" ref="Q13:Q19" si="4">O13+P13</f>
        <v>1.1092000000000002</v>
      </c>
      <c r="R13" s="1133">
        <f t="shared" ref="R13:R19" si="5">E13*2340</f>
        <v>13640.328000000003</v>
      </c>
      <c r="S13" s="1133">
        <f t="shared" ref="S13:S19" si="6">R13*12</f>
        <v>163683.93600000005</v>
      </c>
      <c r="T13" s="1134">
        <f t="shared" ref="T13:T19" si="7">(F13*2340*12)*10%</f>
        <v>12130.560000000001</v>
      </c>
      <c r="U13" s="1089">
        <f t="shared" ref="U13:U19" si="8">S13+T13</f>
        <v>175814.49600000004</v>
      </c>
    </row>
    <row r="14" spans="1:21" ht="21.95" customHeight="1">
      <c r="A14" s="1064">
        <v>3</v>
      </c>
      <c r="B14" s="1249" t="s">
        <v>459</v>
      </c>
      <c r="C14" s="599"/>
      <c r="D14" s="599"/>
      <c r="E14" s="1132">
        <f t="shared" si="0"/>
        <v>5.3352000000000004</v>
      </c>
      <c r="F14" s="1250">
        <v>4.32</v>
      </c>
      <c r="G14" s="1127">
        <f t="shared" si="1"/>
        <v>0</v>
      </c>
      <c r="H14" s="1141"/>
      <c r="I14" s="1142"/>
      <c r="J14" s="1143"/>
      <c r="K14" s="1131">
        <f t="shared" ref="K14:K18" si="9">(F14+H14)*30%</f>
        <v>1.296</v>
      </c>
      <c r="L14" s="1131"/>
      <c r="M14" s="1144"/>
      <c r="N14" s="1144"/>
      <c r="O14" s="1132">
        <f t="shared" si="2"/>
        <v>0.97200000000000009</v>
      </c>
      <c r="P14" s="1132">
        <f t="shared" si="3"/>
        <v>4.3200000000000002E-2</v>
      </c>
      <c r="Q14" s="1132">
        <f t="shared" si="4"/>
        <v>1.0152000000000001</v>
      </c>
      <c r="R14" s="1133">
        <f t="shared" si="5"/>
        <v>12484.368</v>
      </c>
      <c r="S14" s="1133">
        <f t="shared" si="6"/>
        <v>149812.416</v>
      </c>
      <c r="T14" s="1134">
        <f t="shared" si="7"/>
        <v>12130.560000000001</v>
      </c>
      <c r="U14" s="1089">
        <f t="shared" si="8"/>
        <v>161942.976</v>
      </c>
    </row>
    <row r="15" spans="1:21" ht="21.95" customHeight="1">
      <c r="A15" s="1065">
        <v>4</v>
      </c>
      <c r="B15" s="1249" t="s">
        <v>460</v>
      </c>
      <c r="C15" s="599"/>
      <c r="D15" s="599"/>
      <c r="E15" s="1132">
        <f t="shared" si="0"/>
        <v>5.0140999999999991</v>
      </c>
      <c r="F15" s="1250">
        <v>4.0599999999999996</v>
      </c>
      <c r="G15" s="1127">
        <f t="shared" si="1"/>
        <v>0</v>
      </c>
      <c r="H15" s="1145"/>
      <c r="I15" s="1146"/>
      <c r="J15" s="1147"/>
      <c r="K15" s="1131">
        <f t="shared" si="9"/>
        <v>1.2179999999999997</v>
      </c>
      <c r="L15" s="1131"/>
      <c r="M15" s="1148"/>
      <c r="N15" s="1148"/>
      <c r="O15" s="1132">
        <f t="shared" si="2"/>
        <v>0.91349999999999998</v>
      </c>
      <c r="P15" s="1132">
        <f t="shared" si="3"/>
        <v>4.0599999999999997E-2</v>
      </c>
      <c r="Q15" s="1132">
        <f t="shared" si="4"/>
        <v>0.95409999999999995</v>
      </c>
      <c r="R15" s="1133">
        <f t="shared" si="5"/>
        <v>11732.993999999999</v>
      </c>
      <c r="S15" s="1133">
        <f t="shared" si="6"/>
        <v>140795.92799999999</v>
      </c>
      <c r="T15" s="1134">
        <f t="shared" si="7"/>
        <v>11400.48</v>
      </c>
      <c r="U15" s="1089">
        <f t="shared" si="8"/>
        <v>152196.408</v>
      </c>
    </row>
    <row r="16" spans="1:21" ht="21.95" customHeight="1">
      <c r="A16" s="1064">
        <v>5</v>
      </c>
      <c r="B16" s="1249" t="s">
        <v>416</v>
      </c>
      <c r="C16" s="599"/>
      <c r="D16" s="599"/>
      <c r="E16" s="1132">
        <f t="shared" si="0"/>
        <v>4.4830499999999995</v>
      </c>
      <c r="F16" s="1250">
        <v>3.33</v>
      </c>
      <c r="G16" s="1127">
        <f t="shared" si="1"/>
        <v>0.3</v>
      </c>
      <c r="H16" s="1149">
        <v>0.3</v>
      </c>
      <c r="I16" s="1150"/>
      <c r="J16" s="1151"/>
      <c r="K16" s="1131">
        <f t="shared" si="9"/>
        <v>1.089</v>
      </c>
      <c r="L16" s="1131"/>
      <c r="M16" s="1152"/>
      <c r="N16" s="1152"/>
      <c r="O16" s="1132">
        <f t="shared" si="2"/>
        <v>0.81674999999999998</v>
      </c>
      <c r="P16" s="1132">
        <f t="shared" si="3"/>
        <v>3.6299999999999999E-2</v>
      </c>
      <c r="Q16" s="1132">
        <f t="shared" si="4"/>
        <v>0.85304999999999997</v>
      </c>
      <c r="R16" s="1133">
        <f t="shared" si="5"/>
        <v>10490.337</v>
      </c>
      <c r="S16" s="1133">
        <f t="shared" si="6"/>
        <v>125884.04399999999</v>
      </c>
      <c r="T16" s="1134">
        <f t="shared" si="7"/>
        <v>9350.64</v>
      </c>
      <c r="U16" s="1089">
        <f t="shared" si="8"/>
        <v>135234.68400000001</v>
      </c>
    </row>
    <row r="17" spans="1:21" ht="21.95" customHeight="1">
      <c r="A17" s="1065">
        <v>6</v>
      </c>
      <c r="B17" s="1249" t="s">
        <v>461</v>
      </c>
      <c r="C17" s="599"/>
      <c r="D17" s="599"/>
      <c r="E17" s="1132">
        <f t="shared" si="0"/>
        <v>3.9050000000000002</v>
      </c>
      <c r="F17" s="1250">
        <v>3</v>
      </c>
      <c r="G17" s="1127">
        <f t="shared" si="1"/>
        <v>0.2</v>
      </c>
      <c r="H17" s="1149"/>
      <c r="I17" s="1150"/>
      <c r="J17" s="1151"/>
      <c r="K17" s="1131">
        <f t="shared" si="9"/>
        <v>0.89999999999999991</v>
      </c>
      <c r="L17" s="1131">
        <v>0.2</v>
      </c>
      <c r="M17" s="1152"/>
      <c r="N17" s="1152"/>
      <c r="O17" s="1132">
        <f t="shared" si="2"/>
        <v>0.67500000000000004</v>
      </c>
      <c r="P17" s="1132">
        <f t="shared" si="3"/>
        <v>0.03</v>
      </c>
      <c r="Q17" s="1132">
        <f t="shared" si="4"/>
        <v>0.70500000000000007</v>
      </c>
      <c r="R17" s="1133">
        <f t="shared" si="5"/>
        <v>9137.7000000000007</v>
      </c>
      <c r="S17" s="1133">
        <f t="shared" si="6"/>
        <v>109652.40000000001</v>
      </c>
      <c r="T17" s="1134">
        <f t="shared" si="7"/>
        <v>8424</v>
      </c>
      <c r="U17" s="1089">
        <f t="shared" si="8"/>
        <v>118076.40000000001</v>
      </c>
    </row>
    <row r="18" spans="1:21" ht="21.95" customHeight="1">
      <c r="A18" s="1064">
        <v>7</v>
      </c>
      <c r="B18" s="1249" t="s">
        <v>462</v>
      </c>
      <c r="C18" s="619"/>
      <c r="D18" s="619"/>
      <c r="E18" s="1132">
        <f t="shared" si="0"/>
        <v>2.8898999999999999</v>
      </c>
      <c r="F18" s="1250">
        <v>2.34</v>
      </c>
      <c r="G18" s="1127">
        <f t="shared" si="1"/>
        <v>0</v>
      </c>
      <c r="H18" s="1141"/>
      <c r="I18" s="1142"/>
      <c r="J18" s="1143"/>
      <c r="K18" s="1131">
        <f t="shared" si="9"/>
        <v>0.70199999999999996</v>
      </c>
      <c r="L18" s="1131"/>
      <c r="M18" s="1144"/>
      <c r="N18" s="1144"/>
      <c r="O18" s="1132">
        <f t="shared" si="2"/>
        <v>0.52649999999999997</v>
      </c>
      <c r="P18" s="1132">
        <f t="shared" si="3"/>
        <v>2.3400000000000001E-2</v>
      </c>
      <c r="Q18" s="1132">
        <f t="shared" si="4"/>
        <v>0.54989999999999994</v>
      </c>
      <c r="R18" s="1133">
        <f t="shared" si="5"/>
        <v>6762.366</v>
      </c>
      <c r="S18" s="1133">
        <f t="shared" si="6"/>
        <v>81148.391999999993</v>
      </c>
      <c r="T18" s="1134">
        <f t="shared" si="7"/>
        <v>6570.72</v>
      </c>
      <c r="U18" s="1089">
        <f t="shared" si="8"/>
        <v>87719.111999999994</v>
      </c>
    </row>
    <row r="19" spans="1:21" ht="21.95" customHeight="1">
      <c r="A19" s="217"/>
      <c r="B19" s="1248" t="s">
        <v>10</v>
      </c>
      <c r="C19" s="599"/>
      <c r="D19" s="599"/>
      <c r="E19" s="1132">
        <f t="shared" si="0"/>
        <v>33.365749999999998</v>
      </c>
      <c r="F19" s="1244">
        <f t="shared" ref="F19" si="10">SUM(F12:F18)</f>
        <v>26.45</v>
      </c>
      <c r="G19" s="1127">
        <f t="shared" si="1"/>
        <v>0.7</v>
      </c>
      <c r="H19" s="1145"/>
      <c r="I19" s="1146"/>
      <c r="J19" s="1147"/>
      <c r="K19" s="1131">
        <f>SUM(K12:K18)</f>
        <v>8.8930000000000007</v>
      </c>
      <c r="L19" s="1131">
        <f>SUM(L12:L18)</f>
        <v>0.4</v>
      </c>
      <c r="M19" s="1148">
        <f>SUM(M12:M18)</f>
        <v>0.3</v>
      </c>
      <c r="N19" s="1148"/>
      <c r="O19" s="1132">
        <f t="shared" si="2"/>
        <v>5.9512499999999999</v>
      </c>
      <c r="P19" s="1132">
        <f t="shared" si="3"/>
        <v>0.26450000000000001</v>
      </c>
      <c r="Q19" s="1132">
        <f t="shared" si="4"/>
        <v>6.2157499999999999</v>
      </c>
      <c r="R19" s="1133">
        <f t="shared" si="5"/>
        <v>78075.854999999996</v>
      </c>
      <c r="S19" s="1133">
        <f t="shared" si="6"/>
        <v>936910.26</v>
      </c>
      <c r="T19" s="1134">
        <f t="shared" si="7"/>
        <v>74271.600000000006</v>
      </c>
      <c r="U19" s="1089">
        <f t="shared" si="8"/>
        <v>1011181.86</v>
      </c>
    </row>
    <row r="20" spans="1:21">
      <c r="B20" s="1251" t="s">
        <v>488</v>
      </c>
      <c r="C20" s="1251"/>
      <c r="D20" s="1251"/>
      <c r="E20" s="1251"/>
      <c r="F20" s="1251"/>
      <c r="G20" s="1251"/>
      <c r="H20" s="1251"/>
      <c r="I20" s="1251"/>
      <c r="J20" s="1251"/>
      <c r="K20" s="1251"/>
      <c r="L20" s="1251"/>
      <c r="M20" s="1251"/>
      <c r="N20" s="1251"/>
      <c r="O20" s="1251"/>
      <c r="P20" s="1251"/>
      <c r="Q20" s="1251"/>
      <c r="R20" s="1251"/>
      <c r="S20" s="1251"/>
      <c r="T20" s="1251"/>
      <c r="U20" s="1251"/>
    </row>
  </sheetData>
  <mergeCells count="17">
    <mergeCell ref="A1:E1"/>
    <mergeCell ref="B20:U20"/>
    <mergeCell ref="B4:U4"/>
    <mergeCell ref="B5:U5"/>
    <mergeCell ref="A7:A9"/>
    <mergeCell ref="B7:B9"/>
    <mergeCell ref="C7:C9"/>
    <mergeCell ref="D7:D9"/>
    <mergeCell ref="E7:Q7"/>
    <mergeCell ref="T7:T9"/>
    <mergeCell ref="U7:U9"/>
    <mergeCell ref="E8:E9"/>
    <mergeCell ref="F8:F9"/>
    <mergeCell ref="G8:G9"/>
    <mergeCell ref="H8:N8"/>
    <mergeCell ref="O8:Q8"/>
    <mergeCell ref="R7:S8"/>
  </mergeCells>
  <conditionalFormatting sqref="B12:B19">
    <cfRule type="expression" dxfId="9" priority="2" stopIfTrue="1">
      <formula>$C12=""</formula>
    </cfRule>
  </conditionalFormatting>
  <conditionalFormatting sqref="F12:F18">
    <cfRule type="expression" dxfId="8" priority="1" stopIfTrue="1">
      <formula>$C12=""</formula>
    </cfRule>
  </conditionalFormatting>
  <pageMargins left="0" right="0" top="0" bottom="0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Z16" sqref="Z16"/>
    </sheetView>
  </sheetViews>
  <sheetFormatPr defaultRowHeight="15"/>
  <cols>
    <col min="1" max="1" width="4.33203125" customWidth="1"/>
    <col min="3" max="3" width="4.5546875" customWidth="1"/>
    <col min="4" max="4" width="4.88671875" customWidth="1"/>
    <col min="5" max="5" width="7.5546875" customWidth="1"/>
    <col min="6" max="6" width="5.109375" customWidth="1"/>
    <col min="7" max="7" width="7.5546875" customWidth="1"/>
    <col min="8" max="8" width="3.77734375" customWidth="1"/>
    <col min="9" max="10" width="3.109375" customWidth="1"/>
    <col min="11" max="11" width="6.44140625" customWidth="1"/>
    <col min="12" max="12" width="3.44140625" customWidth="1"/>
    <col min="13" max="13" width="3.5546875" customWidth="1"/>
    <col min="14" max="14" width="3.21875" customWidth="1"/>
    <col min="15" max="15" width="6.6640625" customWidth="1"/>
    <col min="16" max="16" width="5.21875" customWidth="1"/>
    <col min="17" max="17" width="5.6640625" customWidth="1"/>
    <col min="18" max="20" width="7.109375" customWidth="1"/>
  </cols>
  <sheetData>
    <row r="1" spans="1:21" ht="15.75">
      <c r="A1" s="837" t="s">
        <v>49</v>
      </c>
      <c r="B1" s="837"/>
      <c r="C1" s="837"/>
      <c r="D1" s="837"/>
      <c r="E1" s="73"/>
      <c r="F1" s="73"/>
      <c r="G1" s="73"/>
      <c r="H1" s="73"/>
      <c r="I1" s="73"/>
      <c r="J1" s="73"/>
      <c r="K1" s="811" t="s">
        <v>33</v>
      </c>
      <c r="L1" s="99"/>
      <c r="M1" s="83"/>
      <c r="N1" s="83"/>
      <c r="O1" s="3"/>
      <c r="P1" s="3"/>
      <c r="Q1" s="84"/>
      <c r="R1" s="84"/>
      <c r="S1" s="84"/>
      <c r="T1" s="24"/>
      <c r="U1" s="24"/>
    </row>
    <row r="2" spans="1:21">
      <c r="A2" s="1252" t="s">
        <v>444</v>
      </c>
      <c r="B2" s="1252"/>
      <c r="C2" s="1252"/>
      <c r="D2" s="1252"/>
      <c r="E2" s="73"/>
      <c r="F2" s="73"/>
      <c r="G2" s="73"/>
      <c r="H2" s="73"/>
      <c r="I2" s="73"/>
      <c r="J2" s="73"/>
      <c r="K2" s="73"/>
      <c r="L2" s="93"/>
      <c r="M2" s="93"/>
      <c r="N2" s="93"/>
      <c r="O2" s="3"/>
      <c r="P2" s="3"/>
      <c r="Q2" s="84"/>
      <c r="R2" s="3"/>
      <c r="S2" s="84"/>
      <c r="T2" s="24"/>
      <c r="U2" s="24"/>
    </row>
    <row r="3" spans="1:21" ht="15.75">
      <c r="A3" s="228"/>
      <c r="B3" s="228"/>
      <c r="C3" s="228"/>
      <c r="D3" s="105"/>
      <c r="E3" s="73"/>
      <c r="F3" s="73"/>
      <c r="G3" s="73"/>
      <c r="H3" s="73"/>
      <c r="I3" s="73"/>
      <c r="J3" s="73"/>
      <c r="K3" s="73"/>
      <c r="L3" s="93"/>
      <c r="M3" s="93"/>
      <c r="N3" s="93"/>
      <c r="O3" s="3"/>
      <c r="P3" s="3"/>
      <c r="Q3" s="84"/>
      <c r="R3" s="84"/>
      <c r="S3" s="84"/>
      <c r="T3" s="24"/>
      <c r="U3" s="24"/>
    </row>
    <row r="4" spans="1:21" ht="18.75">
      <c r="A4" s="84"/>
      <c r="B4" s="839" t="s">
        <v>189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839"/>
      <c r="O4" s="839"/>
      <c r="P4" s="839"/>
      <c r="Q4" s="839"/>
      <c r="R4" s="839"/>
      <c r="S4" s="839"/>
      <c r="T4" s="839"/>
      <c r="U4" s="839"/>
    </row>
    <row r="5" spans="1:21" ht="17.25">
      <c r="A5" s="84"/>
      <c r="B5" s="840" t="s">
        <v>157</v>
      </c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840"/>
      <c r="O5" s="840"/>
      <c r="P5" s="840"/>
      <c r="Q5" s="840"/>
      <c r="R5" s="840"/>
      <c r="S5" s="840"/>
      <c r="T5" s="840"/>
      <c r="U5" s="840"/>
    </row>
    <row r="6" spans="1:21" ht="15.75">
      <c r="A6" s="4"/>
      <c r="B6" s="78"/>
      <c r="C6" s="106"/>
      <c r="D6" s="72"/>
      <c r="E6" s="73"/>
      <c r="F6" s="73"/>
      <c r="G6" s="73"/>
      <c r="H6" s="73"/>
      <c r="I6" s="73"/>
      <c r="J6" s="73"/>
      <c r="K6" s="73"/>
      <c r="L6" s="73"/>
      <c r="M6" s="103"/>
      <c r="N6" s="103"/>
      <c r="R6" s="84"/>
      <c r="S6" s="1247" t="s">
        <v>40</v>
      </c>
      <c r="T6" s="1247"/>
      <c r="U6" s="24"/>
    </row>
    <row r="7" spans="1:21">
      <c r="A7" s="1208" t="s">
        <v>12</v>
      </c>
      <c r="B7" s="1208" t="s">
        <v>50</v>
      </c>
      <c r="C7" s="1193" t="s">
        <v>158</v>
      </c>
      <c r="D7" s="1193" t="s">
        <v>190</v>
      </c>
      <c r="E7" s="1194" t="s">
        <v>203</v>
      </c>
      <c r="F7" s="1195"/>
      <c r="G7" s="1195"/>
      <c r="H7" s="1195"/>
      <c r="I7" s="1195"/>
      <c r="J7" s="1195"/>
      <c r="K7" s="1195"/>
      <c r="L7" s="1195"/>
      <c r="M7" s="1195"/>
      <c r="N7" s="1195"/>
      <c r="O7" s="1195"/>
      <c r="P7" s="1195"/>
      <c r="Q7" s="1195"/>
      <c r="R7" s="1196" t="s">
        <v>205</v>
      </c>
      <c r="S7" s="1197"/>
      <c r="T7" s="1198" t="s">
        <v>159</v>
      </c>
      <c r="U7" s="1198" t="s">
        <v>254</v>
      </c>
    </row>
    <row r="8" spans="1:21" ht="15.75" customHeight="1">
      <c r="A8" s="1208"/>
      <c r="B8" s="1208"/>
      <c r="C8" s="1193"/>
      <c r="D8" s="1193"/>
      <c r="E8" s="1199" t="s">
        <v>211</v>
      </c>
      <c r="F8" s="1199" t="s">
        <v>212</v>
      </c>
      <c r="G8" s="1199" t="s">
        <v>28</v>
      </c>
      <c r="H8" s="1200" t="s">
        <v>31</v>
      </c>
      <c r="I8" s="1201"/>
      <c r="J8" s="1201"/>
      <c r="K8" s="1201"/>
      <c r="L8" s="1201"/>
      <c r="M8" s="1201"/>
      <c r="N8" s="1202"/>
      <c r="O8" s="1194" t="s">
        <v>201</v>
      </c>
      <c r="P8" s="1195"/>
      <c r="Q8" s="1245"/>
      <c r="R8" s="1203"/>
      <c r="S8" s="1204"/>
      <c r="T8" s="1205"/>
      <c r="U8" s="1205"/>
    </row>
    <row r="9" spans="1:21" ht="94.5" customHeight="1">
      <c r="A9" s="1208"/>
      <c r="B9" s="1208"/>
      <c r="C9" s="1193"/>
      <c r="D9" s="1193"/>
      <c r="E9" s="1206"/>
      <c r="F9" s="1206"/>
      <c r="G9" s="1206"/>
      <c r="H9" s="821" t="s">
        <v>194</v>
      </c>
      <c r="I9" s="821" t="s">
        <v>195</v>
      </c>
      <c r="J9" s="821" t="s">
        <v>213</v>
      </c>
      <c r="K9" s="821" t="s">
        <v>214</v>
      </c>
      <c r="L9" s="1207" t="s">
        <v>197</v>
      </c>
      <c r="M9" s="1207" t="s">
        <v>199</v>
      </c>
      <c r="N9" s="1207" t="s">
        <v>200</v>
      </c>
      <c r="O9" s="1207" t="s">
        <v>34</v>
      </c>
      <c r="P9" s="1130" t="s">
        <v>30</v>
      </c>
      <c r="Q9" s="1130" t="s">
        <v>35</v>
      </c>
      <c r="R9" s="1209" t="s">
        <v>206</v>
      </c>
      <c r="S9" s="1209" t="s">
        <v>210</v>
      </c>
      <c r="T9" s="1205"/>
      <c r="U9" s="1205"/>
    </row>
    <row r="10" spans="1:21" ht="36">
      <c r="A10" s="610" t="s">
        <v>16</v>
      </c>
      <c r="B10" s="610" t="s">
        <v>17</v>
      </c>
      <c r="C10" s="1253">
        <v>1</v>
      </c>
      <c r="D10" s="1253">
        <v>2</v>
      </c>
      <c r="E10" s="1130" t="s">
        <v>161</v>
      </c>
      <c r="F10" s="1130">
        <v>4</v>
      </c>
      <c r="G10" s="1130" t="s">
        <v>100</v>
      </c>
      <c r="H10" s="1130">
        <v>6</v>
      </c>
      <c r="I10" s="1130">
        <v>7</v>
      </c>
      <c r="J10" s="1130">
        <v>8</v>
      </c>
      <c r="K10" s="1130">
        <v>9</v>
      </c>
      <c r="L10" s="1130">
        <v>10</v>
      </c>
      <c r="M10" s="1130">
        <v>11</v>
      </c>
      <c r="N10" s="1130">
        <v>12</v>
      </c>
      <c r="O10" s="1130" t="s">
        <v>104</v>
      </c>
      <c r="P10" s="1130" t="s">
        <v>105</v>
      </c>
      <c r="Q10" s="1130" t="s">
        <v>103</v>
      </c>
      <c r="R10" s="610" t="s">
        <v>218</v>
      </c>
      <c r="S10" s="610" t="s">
        <v>208</v>
      </c>
      <c r="T10" s="1254" t="s">
        <v>219</v>
      </c>
      <c r="U10" s="1254" t="s">
        <v>209</v>
      </c>
    </row>
    <row r="11" spans="1:21">
      <c r="A11" s="29"/>
      <c r="B11" s="1255"/>
      <c r="C11" s="1117">
        <v>16</v>
      </c>
      <c r="D11" s="1117">
        <v>15</v>
      </c>
      <c r="E11" s="1118"/>
      <c r="F11" s="1118"/>
      <c r="G11" s="1118"/>
      <c r="H11" s="1118"/>
      <c r="I11" s="1118"/>
      <c r="J11" s="1118"/>
      <c r="K11" s="1118"/>
      <c r="L11" s="1119"/>
      <c r="M11" s="1118"/>
      <c r="N11" s="1118"/>
      <c r="O11" s="1118"/>
      <c r="P11" s="1118"/>
      <c r="Q11" s="1118"/>
      <c r="R11" s="820"/>
      <c r="S11" s="820"/>
      <c r="T11" s="1121"/>
      <c r="U11" s="1122"/>
    </row>
    <row r="12" spans="1:21" ht="24.95" customHeight="1">
      <c r="A12" s="1090">
        <v>1</v>
      </c>
      <c r="B12" s="1257" t="s">
        <v>446</v>
      </c>
      <c r="C12" s="1126"/>
      <c r="D12" s="1126"/>
      <c r="E12" s="1132">
        <f>F12+G12+Q12</f>
        <v>5.6181000000000001</v>
      </c>
      <c r="F12" s="1258">
        <v>3.66</v>
      </c>
      <c r="G12" s="1127">
        <f>K12</f>
        <v>1.0980000000000001</v>
      </c>
      <c r="H12" s="1128"/>
      <c r="I12" s="1129"/>
      <c r="J12" s="1130"/>
      <c r="K12" s="1132">
        <f>F12*30%</f>
        <v>1.0980000000000001</v>
      </c>
      <c r="L12" s="1131"/>
      <c r="M12" s="1131"/>
      <c r="N12" s="1131"/>
      <c r="O12" s="1127">
        <f>F12*22.5%</f>
        <v>0.82350000000000001</v>
      </c>
      <c r="P12" s="1127">
        <f>F12*1%</f>
        <v>3.6600000000000001E-2</v>
      </c>
      <c r="Q12" s="1127">
        <f>O12+P12</f>
        <v>0.86009999999999998</v>
      </c>
      <c r="R12" s="1259">
        <f>E12*2340</f>
        <v>13146.353999999999</v>
      </c>
      <c r="S12" s="1259">
        <f>R12*12</f>
        <v>157756.24799999999</v>
      </c>
      <c r="T12" s="1260">
        <f>(F12*2340*12)*10%</f>
        <v>10277.279999999999</v>
      </c>
      <c r="U12" s="1261">
        <f>S12+T12</f>
        <v>168033.52799999999</v>
      </c>
    </row>
    <row r="13" spans="1:21" ht="24.95" customHeight="1">
      <c r="A13" s="1091">
        <v>2</v>
      </c>
      <c r="B13" s="1257" t="s">
        <v>447</v>
      </c>
      <c r="C13" s="1135"/>
      <c r="D13" s="1135"/>
      <c r="E13" s="1132">
        <f t="shared" ref="E13:E27" si="0">F13+G13+Q13</f>
        <v>5.6181000000000001</v>
      </c>
      <c r="F13" s="1258">
        <v>3.66</v>
      </c>
      <c r="G13" s="1127">
        <f t="shared" ref="G13:G27" si="1">K13</f>
        <v>1.0980000000000001</v>
      </c>
      <c r="H13" s="1136"/>
      <c r="I13" s="1137"/>
      <c r="J13" s="1138"/>
      <c r="K13" s="1132">
        <f t="shared" ref="K13:K27" si="2">F13*30%</f>
        <v>1.0980000000000001</v>
      </c>
      <c r="L13" s="1131"/>
      <c r="M13" s="1139"/>
      <c r="N13" s="1139"/>
      <c r="O13" s="1127">
        <f t="shared" ref="O13:O27" si="3">F13*22.5%</f>
        <v>0.82350000000000001</v>
      </c>
      <c r="P13" s="1127">
        <f t="shared" ref="P13:P27" si="4">F13*1%</f>
        <v>3.6600000000000001E-2</v>
      </c>
      <c r="Q13" s="1127">
        <f t="shared" ref="Q13:Q27" si="5">O13+P13</f>
        <v>0.86009999999999998</v>
      </c>
      <c r="R13" s="1259">
        <f t="shared" ref="R13:R27" si="6">E13*2340</f>
        <v>13146.353999999999</v>
      </c>
      <c r="S13" s="1259">
        <f t="shared" ref="S13:S27" si="7">R13*12</f>
        <v>157756.24799999999</v>
      </c>
      <c r="T13" s="1260">
        <f t="shared" ref="T13:T27" si="8">(F13*2340*12)*10%</f>
        <v>10277.279999999999</v>
      </c>
      <c r="U13" s="1261">
        <f t="shared" ref="U13:U27" si="9">S13+T13</f>
        <v>168033.52799999999</v>
      </c>
    </row>
    <row r="14" spans="1:21" ht="24.95" customHeight="1">
      <c r="A14" s="1090">
        <v>3</v>
      </c>
      <c r="B14" s="1257" t="s">
        <v>448</v>
      </c>
      <c r="C14" s="1140"/>
      <c r="D14" s="1140"/>
      <c r="E14" s="1132">
        <f t="shared" si="0"/>
        <v>5.6181000000000001</v>
      </c>
      <c r="F14" s="1258">
        <v>3.66</v>
      </c>
      <c r="G14" s="1127">
        <f t="shared" si="1"/>
        <v>1.0980000000000001</v>
      </c>
      <c r="H14" s="1141"/>
      <c r="I14" s="1142"/>
      <c r="J14" s="1143"/>
      <c r="K14" s="1132">
        <f t="shared" si="2"/>
        <v>1.0980000000000001</v>
      </c>
      <c r="L14" s="1131"/>
      <c r="M14" s="1144"/>
      <c r="N14" s="1144"/>
      <c r="O14" s="1127">
        <f t="shared" si="3"/>
        <v>0.82350000000000001</v>
      </c>
      <c r="P14" s="1127">
        <f t="shared" si="4"/>
        <v>3.6600000000000001E-2</v>
      </c>
      <c r="Q14" s="1127">
        <f t="shared" si="5"/>
        <v>0.86009999999999998</v>
      </c>
      <c r="R14" s="1259">
        <f t="shared" si="6"/>
        <v>13146.353999999999</v>
      </c>
      <c r="S14" s="1259">
        <f t="shared" si="7"/>
        <v>157756.24799999999</v>
      </c>
      <c r="T14" s="1260">
        <f t="shared" si="8"/>
        <v>10277.279999999999</v>
      </c>
      <c r="U14" s="1261">
        <f t="shared" si="9"/>
        <v>168033.52799999999</v>
      </c>
    </row>
    <row r="15" spans="1:21" ht="24.95" customHeight="1">
      <c r="A15" s="1091">
        <v>4</v>
      </c>
      <c r="B15" s="1257" t="s">
        <v>449</v>
      </c>
      <c r="C15" s="1140"/>
      <c r="D15" s="1140"/>
      <c r="E15" s="1132">
        <f t="shared" si="0"/>
        <v>5.1268999999999991</v>
      </c>
      <c r="F15" s="1258">
        <v>3.34</v>
      </c>
      <c r="G15" s="1127">
        <f t="shared" si="1"/>
        <v>1.002</v>
      </c>
      <c r="H15" s="1145"/>
      <c r="I15" s="1146"/>
      <c r="J15" s="1147"/>
      <c r="K15" s="1132">
        <f t="shared" si="2"/>
        <v>1.002</v>
      </c>
      <c r="L15" s="1131"/>
      <c r="M15" s="1148"/>
      <c r="N15" s="1148"/>
      <c r="O15" s="1127">
        <f t="shared" si="3"/>
        <v>0.75149999999999995</v>
      </c>
      <c r="P15" s="1127">
        <f t="shared" si="4"/>
        <v>3.3399999999999999E-2</v>
      </c>
      <c r="Q15" s="1127">
        <f t="shared" si="5"/>
        <v>0.78489999999999993</v>
      </c>
      <c r="R15" s="1259">
        <f t="shared" si="6"/>
        <v>11996.945999999998</v>
      </c>
      <c r="S15" s="1259">
        <f t="shared" si="7"/>
        <v>143963.35199999998</v>
      </c>
      <c r="T15" s="1260">
        <f t="shared" si="8"/>
        <v>9378.7199999999993</v>
      </c>
      <c r="U15" s="1261">
        <f t="shared" si="9"/>
        <v>153342.07199999999</v>
      </c>
    </row>
    <row r="16" spans="1:21" ht="24.95" customHeight="1">
      <c r="A16" s="1090">
        <v>5</v>
      </c>
      <c r="B16" s="1257" t="s">
        <v>450</v>
      </c>
      <c r="C16" s="1140"/>
      <c r="D16" s="1140"/>
      <c r="E16" s="1132">
        <f t="shared" si="0"/>
        <v>5.1268999999999991</v>
      </c>
      <c r="F16" s="1258">
        <v>3.34</v>
      </c>
      <c r="G16" s="1127">
        <f t="shared" si="1"/>
        <v>1.002</v>
      </c>
      <c r="H16" s="1149"/>
      <c r="I16" s="1150"/>
      <c r="J16" s="1151"/>
      <c r="K16" s="1132">
        <f t="shared" si="2"/>
        <v>1.002</v>
      </c>
      <c r="L16" s="1131"/>
      <c r="M16" s="1152"/>
      <c r="N16" s="1152"/>
      <c r="O16" s="1127">
        <f t="shared" si="3"/>
        <v>0.75149999999999995</v>
      </c>
      <c r="P16" s="1127">
        <f t="shared" si="4"/>
        <v>3.3399999999999999E-2</v>
      </c>
      <c r="Q16" s="1127">
        <f t="shared" si="5"/>
        <v>0.78489999999999993</v>
      </c>
      <c r="R16" s="1259">
        <f t="shared" si="6"/>
        <v>11996.945999999998</v>
      </c>
      <c r="S16" s="1259">
        <f t="shared" si="7"/>
        <v>143963.35199999998</v>
      </c>
      <c r="T16" s="1260">
        <f t="shared" si="8"/>
        <v>9378.7199999999993</v>
      </c>
      <c r="U16" s="1261">
        <f t="shared" si="9"/>
        <v>153342.07199999999</v>
      </c>
    </row>
    <row r="17" spans="1:21" ht="24.95" customHeight="1">
      <c r="A17" s="1091">
        <v>6</v>
      </c>
      <c r="B17" s="1257" t="s">
        <v>451</v>
      </c>
      <c r="C17" s="1140"/>
      <c r="D17" s="1140"/>
      <c r="E17" s="1132">
        <f t="shared" si="0"/>
        <v>5.1115499999999994</v>
      </c>
      <c r="F17" s="1258">
        <v>3.33</v>
      </c>
      <c r="G17" s="1127">
        <f t="shared" si="1"/>
        <v>0.999</v>
      </c>
      <c r="H17" s="1149"/>
      <c r="I17" s="1150"/>
      <c r="J17" s="1151"/>
      <c r="K17" s="1132">
        <f t="shared" si="2"/>
        <v>0.999</v>
      </c>
      <c r="L17" s="1131"/>
      <c r="M17" s="1152"/>
      <c r="N17" s="1152"/>
      <c r="O17" s="1127">
        <f t="shared" si="3"/>
        <v>0.74925000000000008</v>
      </c>
      <c r="P17" s="1127">
        <f t="shared" si="4"/>
        <v>3.3300000000000003E-2</v>
      </c>
      <c r="Q17" s="1127">
        <f t="shared" si="5"/>
        <v>0.78255000000000008</v>
      </c>
      <c r="R17" s="1259">
        <f t="shared" si="6"/>
        <v>11961.026999999998</v>
      </c>
      <c r="S17" s="1259">
        <f t="shared" si="7"/>
        <v>143532.32399999996</v>
      </c>
      <c r="T17" s="1260">
        <f t="shared" si="8"/>
        <v>9350.64</v>
      </c>
      <c r="U17" s="1261">
        <f t="shared" si="9"/>
        <v>152882.96399999998</v>
      </c>
    </row>
    <row r="18" spans="1:21" ht="24.95" customHeight="1">
      <c r="A18" s="1090">
        <v>7</v>
      </c>
      <c r="B18" s="1257" t="s">
        <v>420</v>
      </c>
      <c r="C18" s="1153"/>
      <c r="D18" s="1153"/>
      <c r="E18" s="1132">
        <f t="shared" si="0"/>
        <v>4.6970999999999998</v>
      </c>
      <c r="F18" s="1258">
        <v>3.06</v>
      </c>
      <c r="G18" s="1127">
        <f t="shared" si="1"/>
        <v>0.91799999999999993</v>
      </c>
      <c r="H18" s="1141"/>
      <c r="I18" s="1142"/>
      <c r="J18" s="1143"/>
      <c r="K18" s="1132">
        <f t="shared" si="2"/>
        <v>0.91799999999999993</v>
      </c>
      <c r="L18" s="1131"/>
      <c r="M18" s="1144"/>
      <c r="N18" s="1144"/>
      <c r="O18" s="1127">
        <f t="shared" si="3"/>
        <v>0.6885</v>
      </c>
      <c r="P18" s="1127">
        <f t="shared" si="4"/>
        <v>3.0600000000000002E-2</v>
      </c>
      <c r="Q18" s="1127">
        <f t="shared" si="5"/>
        <v>0.71909999999999996</v>
      </c>
      <c r="R18" s="1259">
        <f t="shared" si="6"/>
        <v>10991.214</v>
      </c>
      <c r="S18" s="1259">
        <f t="shared" si="7"/>
        <v>131894.568</v>
      </c>
      <c r="T18" s="1260">
        <f t="shared" si="8"/>
        <v>8592.4800000000014</v>
      </c>
      <c r="U18" s="1261">
        <f t="shared" si="9"/>
        <v>140487.04800000001</v>
      </c>
    </row>
    <row r="19" spans="1:21" ht="24.95" customHeight="1">
      <c r="A19" s="1091">
        <v>8</v>
      </c>
      <c r="B19" s="1257" t="s">
        <v>452</v>
      </c>
      <c r="C19" s="1140"/>
      <c r="D19" s="1140"/>
      <c r="E19" s="1132">
        <f t="shared" si="0"/>
        <v>4.6970999999999998</v>
      </c>
      <c r="F19" s="1258">
        <v>3.06</v>
      </c>
      <c r="G19" s="1127">
        <f t="shared" si="1"/>
        <v>0.91799999999999993</v>
      </c>
      <c r="H19" s="1145"/>
      <c r="I19" s="1146"/>
      <c r="J19" s="1147"/>
      <c r="K19" s="1132">
        <f t="shared" si="2"/>
        <v>0.91799999999999993</v>
      </c>
      <c r="L19" s="1131"/>
      <c r="M19" s="1148"/>
      <c r="N19" s="1148"/>
      <c r="O19" s="1127">
        <f t="shared" si="3"/>
        <v>0.6885</v>
      </c>
      <c r="P19" s="1127">
        <f t="shared" si="4"/>
        <v>3.0600000000000002E-2</v>
      </c>
      <c r="Q19" s="1127">
        <f t="shared" si="5"/>
        <v>0.71909999999999996</v>
      </c>
      <c r="R19" s="1259">
        <f t="shared" si="6"/>
        <v>10991.214</v>
      </c>
      <c r="S19" s="1259">
        <f t="shared" si="7"/>
        <v>131894.568</v>
      </c>
      <c r="T19" s="1260">
        <f t="shared" si="8"/>
        <v>8592.4800000000014</v>
      </c>
      <c r="U19" s="1261">
        <f t="shared" si="9"/>
        <v>140487.04800000001</v>
      </c>
    </row>
    <row r="20" spans="1:21" ht="24.95" customHeight="1">
      <c r="A20" s="1090">
        <v>9</v>
      </c>
      <c r="B20" s="1257" t="s">
        <v>424</v>
      </c>
      <c r="C20" s="1140"/>
      <c r="D20" s="1140"/>
      <c r="E20" s="1132">
        <f t="shared" si="0"/>
        <v>4.6510499999999997</v>
      </c>
      <c r="F20" s="1258">
        <v>3.03</v>
      </c>
      <c r="G20" s="1127">
        <f t="shared" si="1"/>
        <v>0.90899999999999992</v>
      </c>
      <c r="H20" s="1149"/>
      <c r="I20" s="1150"/>
      <c r="J20" s="1151"/>
      <c r="K20" s="1132">
        <f t="shared" si="2"/>
        <v>0.90899999999999992</v>
      </c>
      <c r="L20" s="1131"/>
      <c r="M20" s="1152"/>
      <c r="N20" s="1152"/>
      <c r="O20" s="1127">
        <f t="shared" si="3"/>
        <v>0.68174999999999997</v>
      </c>
      <c r="P20" s="1127">
        <f t="shared" si="4"/>
        <v>3.0299999999999997E-2</v>
      </c>
      <c r="Q20" s="1127">
        <f t="shared" si="5"/>
        <v>0.71204999999999996</v>
      </c>
      <c r="R20" s="1259">
        <f t="shared" si="6"/>
        <v>10883.456999999999</v>
      </c>
      <c r="S20" s="1259">
        <f t="shared" si="7"/>
        <v>130601.48399999998</v>
      </c>
      <c r="T20" s="1260">
        <f t="shared" si="8"/>
        <v>8508.24</v>
      </c>
      <c r="U20" s="1261">
        <f t="shared" si="9"/>
        <v>139109.72399999999</v>
      </c>
    </row>
    <row r="21" spans="1:21" ht="24.95" customHeight="1">
      <c r="A21" s="1091">
        <v>10</v>
      </c>
      <c r="B21" s="1257" t="s">
        <v>453</v>
      </c>
      <c r="C21" s="1140"/>
      <c r="D21" s="1140"/>
      <c r="E21" s="1132">
        <f t="shared" si="0"/>
        <v>5.1115499999999994</v>
      </c>
      <c r="F21" s="1258">
        <v>3.33</v>
      </c>
      <c r="G21" s="1127">
        <f t="shared" si="1"/>
        <v>0.999</v>
      </c>
      <c r="H21" s="1149"/>
      <c r="I21" s="1150"/>
      <c r="J21" s="1151"/>
      <c r="K21" s="1132">
        <f t="shared" si="2"/>
        <v>0.999</v>
      </c>
      <c r="L21" s="1131"/>
      <c r="M21" s="1152"/>
      <c r="N21" s="1152"/>
      <c r="O21" s="1127">
        <f t="shared" si="3"/>
        <v>0.74925000000000008</v>
      </c>
      <c r="P21" s="1127">
        <f t="shared" si="4"/>
        <v>3.3300000000000003E-2</v>
      </c>
      <c r="Q21" s="1127">
        <f t="shared" si="5"/>
        <v>0.78255000000000008</v>
      </c>
      <c r="R21" s="1259">
        <f t="shared" si="6"/>
        <v>11961.026999999998</v>
      </c>
      <c r="S21" s="1259">
        <f t="shared" si="7"/>
        <v>143532.32399999996</v>
      </c>
      <c r="T21" s="1260">
        <f t="shared" si="8"/>
        <v>9350.64</v>
      </c>
      <c r="U21" s="1261">
        <f t="shared" si="9"/>
        <v>152882.96399999998</v>
      </c>
    </row>
    <row r="22" spans="1:21" ht="24.95" customHeight="1">
      <c r="A22" s="1090">
        <v>11</v>
      </c>
      <c r="B22" s="1257" t="s">
        <v>425</v>
      </c>
      <c r="C22" s="1140"/>
      <c r="D22" s="1140"/>
      <c r="E22" s="1132">
        <f t="shared" si="0"/>
        <v>4.3901000000000003</v>
      </c>
      <c r="F22" s="1258">
        <v>2.86</v>
      </c>
      <c r="G22" s="1127">
        <f t="shared" si="1"/>
        <v>0.85799999999999998</v>
      </c>
      <c r="H22" s="1145"/>
      <c r="I22" s="1146"/>
      <c r="J22" s="1147"/>
      <c r="K22" s="1132">
        <f t="shared" si="2"/>
        <v>0.85799999999999998</v>
      </c>
      <c r="L22" s="1131"/>
      <c r="M22" s="1148"/>
      <c r="N22" s="1148"/>
      <c r="O22" s="1127">
        <f t="shared" si="3"/>
        <v>0.64349999999999996</v>
      </c>
      <c r="P22" s="1127">
        <f t="shared" si="4"/>
        <v>2.86E-2</v>
      </c>
      <c r="Q22" s="1127">
        <f t="shared" si="5"/>
        <v>0.67209999999999992</v>
      </c>
      <c r="R22" s="1259">
        <f t="shared" si="6"/>
        <v>10272.834000000001</v>
      </c>
      <c r="S22" s="1259">
        <f t="shared" si="7"/>
        <v>123274.008</v>
      </c>
      <c r="T22" s="1260">
        <f t="shared" si="8"/>
        <v>8030.8799999999992</v>
      </c>
      <c r="U22" s="1261">
        <f t="shared" si="9"/>
        <v>131304.88800000001</v>
      </c>
    </row>
    <row r="23" spans="1:21" ht="24.95" customHeight="1">
      <c r="A23" s="1091">
        <v>12</v>
      </c>
      <c r="B23" s="1257" t="s">
        <v>421</v>
      </c>
      <c r="C23" s="1154"/>
      <c r="D23" s="1154"/>
      <c r="E23" s="1132">
        <f t="shared" si="0"/>
        <v>4.3901000000000003</v>
      </c>
      <c r="F23" s="1258">
        <v>2.86</v>
      </c>
      <c r="G23" s="1127">
        <f t="shared" si="1"/>
        <v>0.85799999999999998</v>
      </c>
      <c r="H23" s="1145"/>
      <c r="I23" s="1146"/>
      <c r="J23" s="1147"/>
      <c r="K23" s="1132">
        <f t="shared" si="2"/>
        <v>0.85799999999999998</v>
      </c>
      <c r="L23" s="1131"/>
      <c r="M23" s="1148"/>
      <c r="N23" s="1148"/>
      <c r="O23" s="1127">
        <f t="shared" si="3"/>
        <v>0.64349999999999996</v>
      </c>
      <c r="P23" s="1127">
        <f t="shared" si="4"/>
        <v>2.86E-2</v>
      </c>
      <c r="Q23" s="1127">
        <f t="shared" si="5"/>
        <v>0.67209999999999992</v>
      </c>
      <c r="R23" s="1259">
        <f t="shared" si="6"/>
        <v>10272.834000000001</v>
      </c>
      <c r="S23" s="1259">
        <f t="shared" si="7"/>
        <v>123274.008</v>
      </c>
      <c r="T23" s="1260">
        <f t="shared" si="8"/>
        <v>8030.8799999999992</v>
      </c>
      <c r="U23" s="1261">
        <f t="shared" si="9"/>
        <v>131304.88800000001</v>
      </c>
    </row>
    <row r="24" spans="1:21" ht="24.95" customHeight="1">
      <c r="A24" s="1090">
        <v>13</v>
      </c>
      <c r="B24" s="1257" t="s">
        <v>454</v>
      </c>
      <c r="C24" s="1154"/>
      <c r="D24" s="1154"/>
      <c r="E24" s="1132">
        <f t="shared" si="0"/>
        <v>3.6993499999999999</v>
      </c>
      <c r="F24" s="1258">
        <v>2.41</v>
      </c>
      <c r="G24" s="1127">
        <f t="shared" si="1"/>
        <v>0.72299999999999998</v>
      </c>
      <c r="H24" s="1145"/>
      <c r="I24" s="1146"/>
      <c r="J24" s="1155"/>
      <c r="K24" s="1132">
        <f t="shared" si="2"/>
        <v>0.72299999999999998</v>
      </c>
      <c r="L24" s="1131"/>
      <c r="M24" s="1156"/>
      <c r="N24" s="1156"/>
      <c r="O24" s="1127">
        <f t="shared" si="3"/>
        <v>0.54225000000000001</v>
      </c>
      <c r="P24" s="1127">
        <f t="shared" si="4"/>
        <v>2.4100000000000003E-2</v>
      </c>
      <c r="Q24" s="1127">
        <f t="shared" si="5"/>
        <v>0.56635000000000002</v>
      </c>
      <c r="R24" s="1259">
        <f t="shared" si="6"/>
        <v>8656.4789999999994</v>
      </c>
      <c r="S24" s="1259">
        <f t="shared" si="7"/>
        <v>103877.74799999999</v>
      </c>
      <c r="T24" s="1260">
        <f t="shared" si="8"/>
        <v>6767.2800000000007</v>
      </c>
      <c r="U24" s="1261">
        <f t="shared" si="9"/>
        <v>110645.02799999999</v>
      </c>
    </row>
    <row r="25" spans="1:21" ht="24.95" customHeight="1">
      <c r="A25" s="1091">
        <v>14</v>
      </c>
      <c r="B25" s="1257" t="s">
        <v>455</v>
      </c>
      <c r="C25" s="1154"/>
      <c r="D25" s="1154"/>
      <c r="E25" s="1132">
        <f t="shared" si="0"/>
        <v>3.1467499999999995</v>
      </c>
      <c r="F25" s="1258">
        <v>2.0499999999999998</v>
      </c>
      <c r="G25" s="1127">
        <f t="shared" si="1"/>
        <v>0.61499999999999988</v>
      </c>
      <c r="H25" s="1145"/>
      <c r="I25" s="1146"/>
      <c r="J25" s="1147"/>
      <c r="K25" s="1132">
        <f t="shared" si="2"/>
        <v>0.61499999999999988</v>
      </c>
      <c r="L25" s="1131"/>
      <c r="M25" s="1148"/>
      <c r="N25" s="1148"/>
      <c r="O25" s="1127">
        <f t="shared" si="3"/>
        <v>0.46124999999999999</v>
      </c>
      <c r="P25" s="1127">
        <f t="shared" si="4"/>
        <v>2.0499999999999997E-2</v>
      </c>
      <c r="Q25" s="1127">
        <f t="shared" si="5"/>
        <v>0.48175000000000001</v>
      </c>
      <c r="R25" s="1259">
        <f t="shared" si="6"/>
        <v>7363.3949999999986</v>
      </c>
      <c r="S25" s="1259">
        <f t="shared" si="7"/>
        <v>88360.739999999991</v>
      </c>
      <c r="T25" s="1260">
        <f t="shared" si="8"/>
        <v>5756.4000000000005</v>
      </c>
      <c r="U25" s="1261">
        <f t="shared" si="9"/>
        <v>94117.139999999985</v>
      </c>
    </row>
    <row r="26" spans="1:21" ht="24.95" customHeight="1">
      <c r="A26" s="1090">
        <v>15</v>
      </c>
      <c r="B26" s="1257" t="s">
        <v>456</v>
      </c>
      <c r="C26" s="1109"/>
      <c r="D26" s="1109"/>
      <c r="E26" s="1132">
        <f t="shared" si="0"/>
        <v>3.5918999999999999</v>
      </c>
      <c r="F26" s="1258">
        <v>2.34</v>
      </c>
      <c r="G26" s="1127">
        <f t="shared" si="1"/>
        <v>0.70199999999999996</v>
      </c>
      <c r="H26" s="1109"/>
      <c r="I26" s="1109"/>
      <c r="J26" s="1109"/>
      <c r="K26" s="1132">
        <f t="shared" si="2"/>
        <v>0.70199999999999996</v>
      </c>
      <c r="L26" s="1109"/>
      <c r="M26" s="1109"/>
      <c r="N26" s="1109"/>
      <c r="O26" s="1127">
        <f t="shared" si="3"/>
        <v>0.52649999999999997</v>
      </c>
      <c r="P26" s="1127">
        <f t="shared" si="4"/>
        <v>2.3400000000000001E-2</v>
      </c>
      <c r="Q26" s="1127">
        <f t="shared" si="5"/>
        <v>0.54989999999999994</v>
      </c>
      <c r="R26" s="1259">
        <f t="shared" si="6"/>
        <v>8405.0460000000003</v>
      </c>
      <c r="S26" s="1259">
        <f t="shared" si="7"/>
        <v>100860.552</v>
      </c>
      <c r="T26" s="1260">
        <f t="shared" si="8"/>
        <v>6570.72</v>
      </c>
      <c r="U26" s="1261">
        <f t="shared" si="9"/>
        <v>107431.272</v>
      </c>
    </row>
    <row r="27" spans="1:21" ht="24.95" customHeight="1">
      <c r="A27" s="626"/>
      <c r="B27" s="1256" t="s">
        <v>457</v>
      </c>
      <c r="C27" s="1107"/>
      <c r="D27" s="1107"/>
      <c r="E27" s="1125">
        <f t="shared" si="0"/>
        <v>67.002749999999992</v>
      </c>
      <c r="F27" s="1256">
        <f>SUM(F12:F25)</f>
        <v>43.649999999999991</v>
      </c>
      <c r="G27" s="1123">
        <f t="shared" si="1"/>
        <v>13.094999999999997</v>
      </c>
      <c r="H27" s="1107"/>
      <c r="I27" s="1107"/>
      <c r="J27" s="1107"/>
      <c r="K27" s="1125">
        <f t="shared" si="2"/>
        <v>13.094999999999997</v>
      </c>
      <c r="L27" s="1107"/>
      <c r="M27" s="1107"/>
      <c r="N27" s="1107"/>
      <c r="O27" s="1123">
        <f t="shared" si="3"/>
        <v>9.8212499999999991</v>
      </c>
      <c r="P27" s="1123">
        <f t="shared" si="4"/>
        <v>0.43649999999999994</v>
      </c>
      <c r="Q27" s="1123">
        <f t="shared" si="5"/>
        <v>10.25775</v>
      </c>
      <c r="R27" s="1262">
        <f t="shared" si="6"/>
        <v>156786.43499999997</v>
      </c>
      <c r="S27" s="1262">
        <f t="shared" si="7"/>
        <v>1881437.2199999997</v>
      </c>
      <c r="T27" s="1263">
        <f t="shared" si="8"/>
        <v>122569.19999999998</v>
      </c>
      <c r="U27" s="1264">
        <f t="shared" si="9"/>
        <v>2004006.4199999997</v>
      </c>
    </row>
    <row r="28" spans="1:21" ht="19.5" customHeight="1">
      <c r="B28" s="1251" t="s">
        <v>489</v>
      </c>
      <c r="C28" s="1251"/>
      <c r="D28" s="1251"/>
      <c r="E28" s="1251"/>
      <c r="F28" s="1251"/>
      <c r="G28" s="1251"/>
      <c r="H28" s="1251"/>
      <c r="I28" s="1251"/>
      <c r="J28" s="1251"/>
      <c r="K28" s="1251"/>
      <c r="L28" s="1251"/>
      <c r="M28" s="1251"/>
      <c r="N28" s="1251"/>
      <c r="O28" s="1251"/>
      <c r="P28" s="1251"/>
      <c r="Q28" s="1251"/>
      <c r="R28" s="1251"/>
      <c r="S28" s="1251"/>
      <c r="T28" s="1251"/>
      <c r="U28" s="1251"/>
    </row>
  </sheetData>
  <mergeCells count="18">
    <mergeCell ref="A1:D1"/>
    <mergeCell ref="A2:D2"/>
    <mergeCell ref="B28:U28"/>
    <mergeCell ref="B4:U4"/>
    <mergeCell ref="B5:U5"/>
    <mergeCell ref="A7:A9"/>
    <mergeCell ref="B7:B9"/>
    <mergeCell ref="C7:C9"/>
    <mergeCell ref="D7:D9"/>
    <mergeCell ref="E7:Q7"/>
    <mergeCell ref="T7:T9"/>
    <mergeCell ref="U7:U9"/>
    <mergeCell ref="E8:E9"/>
    <mergeCell ref="F8:F9"/>
    <mergeCell ref="G8:G9"/>
    <mergeCell ref="H8:N8"/>
    <mergeCell ref="O8:Q8"/>
    <mergeCell ref="R7:S8"/>
  </mergeCells>
  <conditionalFormatting sqref="B12:B26">
    <cfRule type="expression" dxfId="7" priority="2" stopIfTrue="1">
      <formula>$C12=""</formula>
    </cfRule>
  </conditionalFormatting>
  <conditionalFormatting sqref="F12:F26">
    <cfRule type="expression" dxfId="6" priority="1" stopIfTrue="1">
      <formula>$C12=""</formula>
    </cfRule>
  </conditionalFormatting>
  <pageMargins left="0" right="0" top="0" bottom="0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N16" sqref="N16"/>
    </sheetView>
  </sheetViews>
  <sheetFormatPr defaultRowHeight="15"/>
  <cols>
    <col min="1" max="1" width="4" customWidth="1"/>
    <col min="2" max="2" width="13.77734375" customWidth="1"/>
    <col min="3" max="3" width="5.21875" customWidth="1"/>
    <col min="4" max="4" width="4.77734375" customWidth="1"/>
    <col min="5" max="5" width="5.44140625" customWidth="1"/>
    <col min="6" max="6" width="5.5546875" customWidth="1"/>
    <col min="7" max="7" width="5.33203125" customWidth="1"/>
    <col min="8" max="8" width="7.21875" customWidth="1"/>
    <col min="9" max="9" width="5.33203125" customWidth="1"/>
    <col min="10" max="10" width="5.33203125" style="519" customWidth="1"/>
  </cols>
  <sheetData>
    <row r="1" spans="1:12" ht="15.75">
      <c r="A1" s="1173" t="s">
        <v>44</v>
      </c>
      <c r="B1" s="1266"/>
      <c r="C1" s="1266"/>
      <c r="D1" s="1266"/>
      <c r="E1" s="1266"/>
      <c r="F1" s="2"/>
      <c r="G1" s="2"/>
      <c r="H1" s="869"/>
      <c r="I1" s="869"/>
      <c r="J1" s="815"/>
    </row>
    <row r="2" spans="1:12">
      <c r="A2" s="1267" t="s">
        <v>491</v>
      </c>
      <c r="B2" s="1267"/>
      <c r="C2" s="1267"/>
      <c r="D2" s="1267"/>
      <c r="E2" s="1267"/>
      <c r="F2" s="2"/>
      <c r="G2" s="2"/>
      <c r="H2" s="69"/>
      <c r="I2" s="69"/>
      <c r="J2" s="69"/>
    </row>
    <row r="3" spans="1:12" ht="37.5" customHeight="1">
      <c r="A3" s="870" t="s">
        <v>165</v>
      </c>
      <c r="B3" s="870"/>
      <c r="C3" s="870"/>
      <c r="D3" s="870"/>
      <c r="E3" s="870"/>
      <c r="F3" s="870"/>
      <c r="G3" s="870"/>
      <c r="H3" s="870"/>
      <c r="I3" s="870"/>
      <c r="J3" s="870"/>
      <c r="K3" s="870"/>
      <c r="L3" s="870"/>
    </row>
    <row r="4" spans="1:12" ht="15.75">
      <c r="A4" s="869" t="s">
        <v>166</v>
      </c>
      <c r="B4" s="869"/>
      <c r="C4" s="869"/>
      <c r="D4" s="869"/>
      <c r="E4" s="869"/>
      <c r="F4" s="869"/>
      <c r="G4" s="869"/>
      <c r="H4" s="869"/>
      <c r="I4" s="869"/>
      <c r="J4" s="869"/>
      <c r="K4" s="869"/>
      <c r="L4" s="869"/>
    </row>
    <row r="5" spans="1:12" s="444" customFormat="1" ht="20.25" customHeight="1">
      <c r="A5" s="845"/>
      <c r="B5" s="845"/>
      <c r="C5" s="845"/>
      <c r="D5" s="845"/>
      <c r="E5" s="845"/>
      <c r="F5" s="845"/>
      <c r="G5" s="845"/>
      <c r="H5" s="845"/>
      <c r="I5" s="845"/>
      <c r="J5" s="930" t="s">
        <v>492</v>
      </c>
      <c r="K5" s="930"/>
      <c r="L5" s="930"/>
    </row>
    <row r="6" spans="1:12" ht="18.75" customHeight="1">
      <c r="A6" s="874" t="s">
        <v>12</v>
      </c>
      <c r="B6" s="874" t="s">
        <v>50</v>
      </c>
      <c r="C6" s="875" t="s">
        <v>158</v>
      </c>
      <c r="D6" s="875" t="s">
        <v>190</v>
      </c>
      <c r="E6" s="875" t="s">
        <v>167</v>
      </c>
      <c r="F6" s="871" t="s">
        <v>215</v>
      </c>
      <c r="G6" s="873"/>
      <c r="H6" s="873"/>
      <c r="I6" s="872"/>
      <c r="J6" s="814"/>
      <c r="K6" s="831" t="s">
        <v>205</v>
      </c>
      <c r="L6" s="832"/>
    </row>
    <row r="7" spans="1:12" ht="27" customHeight="1">
      <c r="A7" s="874"/>
      <c r="B7" s="874"/>
      <c r="C7" s="876"/>
      <c r="D7" s="876"/>
      <c r="E7" s="876"/>
      <c r="F7" s="875" t="s">
        <v>13</v>
      </c>
      <c r="G7" s="875" t="s">
        <v>216</v>
      </c>
      <c r="H7" s="871" t="s">
        <v>201</v>
      </c>
      <c r="I7" s="872"/>
      <c r="J7" s="1103"/>
      <c r="K7" s="833"/>
      <c r="L7" s="834"/>
    </row>
    <row r="8" spans="1:12" ht="78.75">
      <c r="A8" s="874"/>
      <c r="B8" s="874"/>
      <c r="C8" s="877"/>
      <c r="D8" s="877"/>
      <c r="E8" s="877"/>
      <c r="F8" s="877"/>
      <c r="G8" s="877"/>
      <c r="H8" s="230" t="s">
        <v>47</v>
      </c>
      <c r="I8" s="231" t="s">
        <v>48</v>
      </c>
      <c r="J8" s="1104" t="s">
        <v>472</v>
      </c>
      <c r="K8" s="591" t="s">
        <v>206</v>
      </c>
      <c r="L8" s="609" t="s">
        <v>210</v>
      </c>
    </row>
    <row r="9" spans="1:12" ht="33.75">
      <c r="A9" s="226" t="s">
        <v>16</v>
      </c>
      <c r="B9" s="226" t="s">
        <v>17</v>
      </c>
      <c r="C9" s="226">
        <v>1</v>
      </c>
      <c r="D9" s="226">
        <v>2</v>
      </c>
      <c r="E9" s="226">
        <v>3</v>
      </c>
      <c r="F9" s="226" t="s">
        <v>479</v>
      </c>
      <c r="G9" s="226">
        <v>5</v>
      </c>
      <c r="H9" s="226" t="s">
        <v>474</v>
      </c>
      <c r="I9" s="226" t="s">
        <v>471</v>
      </c>
      <c r="J9" s="813" t="s">
        <v>473</v>
      </c>
      <c r="K9" s="610" t="s">
        <v>470</v>
      </c>
      <c r="L9" s="610" t="s">
        <v>469</v>
      </c>
    </row>
    <row r="10" spans="1:12">
      <c r="A10" s="622"/>
      <c r="B10" s="1105" t="s">
        <v>475</v>
      </c>
      <c r="C10" s="624"/>
      <c r="D10" s="624"/>
      <c r="E10" s="624"/>
      <c r="F10" s="625"/>
      <c r="G10" s="625"/>
      <c r="H10" s="625"/>
      <c r="I10" s="625"/>
      <c r="J10" s="625"/>
      <c r="K10" s="626"/>
      <c r="L10" s="626"/>
    </row>
    <row r="11" spans="1:12" ht="30" customHeight="1">
      <c r="A11" s="627">
        <v>1</v>
      </c>
      <c r="B11" s="1269" t="s">
        <v>476</v>
      </c>
      <c r="C11" s="1108">
        <v>40</v>
      </c>
      <c r="D11" s="1108">
        <v>35</v>
      </c>
      <c r="E11" s="1108">
        <v>5</v>
      </c>
      <c r="F11" s="1106">
        <f>G11+J11</f>
        <v>14.449499999999999</v>
      </c>
      <c r="G11" s="1106">
        <f>2.34*5</f>
        <v>11.7</v>
      </c>
      <c r="H11" s="1106">
        <f>G11*22.5%</f>
        <v>2.6324999999999998</v>
      </c>
      <c r="I11" s="1106">
        <f>G11*1%</f>
        <v>0.11699999999999999</v>
      </c>
      <c r="J11" s="1106">
        <f>H11+I11</f>
        <v>2.7494999999999998</v>
      </c>
      <c r="K11" s="1268">
        <f>F11*2340</f>
        <v>33811.829999999994</v>
      </c>
      <c r="L11" s="1268">
        <f>K11*12</f>
        <v>405741.95999999996</v>
      </c>
    </row>
    <row r="12" spans="1:12" ht="30" customHeight="1">
      <c r="A12" s="627">
        <v>2</v>
      </c>
      <c r="B12" s="1270" t="s">
        <v>477</v>
      </c>
      <c r="C12" s="1108">
        <v>92</v>
      </c>
      <c r="D12" s="1108">
        <v>83</v>
      </c>
      <c r="E12" s="1108">
        <v>9</v>
      </c>
      <c r="F12" s="1106">
        <f t="shared" ref="F12:F13" si="0">G12+J12</f>
        <v>26.0091</v>
      </c>
      <c r="G12" s="1106">
        <f>2.34*9</f>
        <v>21.06</v>
      </c>
      <c r="H12" s="1106">
        <f t="shared" ref="H12:H13" si="1">G12*22.5%</f>
        <v>4.7385000000000002</v>
      </c>
      <c r="I12" s="1106">
        <f t="shared" ref="I12:I13" si="2">G12*1%</f>
        <v>0.21059999999999998</v>
      </c>
      <c r="J12" s="1106">
        <f t="shared" ref="J12:J13" si="3">H12+I12</f>
        <v>4.9491000000000005</v>
      </c>
      <c r="K12" s="1268">
        <f t="shared" ref="K12:K13" si="4">F12*2340</f>
        <v>60861.294000000002</v>
      </c>
      <c r="L12" s="1268">
        <f t="shared" ref="L12:L13" si="5">K12*12</f>
        <v>730335.52800000005</v>
      </c>
    </row>
    <row r="13" spans="1:12" ht="30" customHeight="1">
      <c r="A13" s="622">
        <v>3</v>
      </c>
      <c r="B13" s="1269" t="s">
        <v>478</v>
      </c>
      <c r="C13" s="1108">
        <v>16</v>
      </c>
      <c r="D13" s="1108">
        <v>15</v>
      </c>
      <c r="E13" s="1108">
        <v>1</v>
      </c>
      <c r="F13" s="1106">
        <f t="shared" si="0"/>
        <v>2.8898999999999999</v>
      </c>
      <c r="G13" s="1106">
        <f>2.34*1</f>
        <v>2.34</v>
      </c>
      <c r="H13" s="1106">
        <f t="shared" si="1"/>
        <v>0.52649999999999997</v>
      </c>
      <c r="I13" s="1106">
        <f t="shared" si="2"/>
        <v>2.3400000000000001E-2</v>
      </c>
      <c r="J13" s="1106">
        <f t="shared" si="3"/>
        <v>0.54989999999999994</v>
      </c>
      <c r="K13" s="1268">
        <f t="shared" si="4"/>
        <v>6762.366</v>
      </c>
      <c r="L13" s="1268">
        <f t="shared" si="5"/>
        <v>81148.391999999993</v>
      </c>
    </row>
    <row r="14" spans="1:12" ht="30" customHeight="1">
      <c r="A14" s="622"/>
      <c r="B14" s="623"/>
      <c r="C14" s="1108"/>
      <c r="D14" s="1108"/>
      <c r="E14" s="1108"/>
      <c r="F14" s="1106"/>
      <c r="G14" s="1106"/>
      <c r="H14" s="1106"/>
      <c r="I14" s="1106"/>
      <c r="J14" s="1106"/>
      <c r="K14" s="1109"/>
      <c r="L14" s="1109"/>
    </row>
    <row r="15" spans="1:12" ht="30" customHeight="1">
      <c r="A15" s="628"/>
      <c r="B15" s="232"/>
      <c r="C15" s="1110"/>
      <c r="D15" s="1110"/>
      <c r="E15" s="1111"/>
      <c r="F15" s="1112"/>
      <c r="G15" s="1112"/>
      <c r="H15" s="1113"/>
      <c r="I15" s="1113"/>
      <c r="J15" s="1113"/>
      <c r="K15" s="1109"/>
      <c r="L15" s="1109"/>
    </row>
    <row r="16" spans="1:12" ht="30" customHeight="1">
      <c r="A16" s="620"/>
      <c r="B16" s="621" t="s">
        <v>13</v>
      </c>
      <c r="C16" s="1114"/>
      <c r="D16" s="1114"/>
      <c r="E16" s="1114"/>
      <c r="F16" s="1115"/>
      <c r="G16" s="1115"/>
      <c r="H16" s="1116"/>
      <c r="I16" s="1116"/>
      <c r="J16" s="1113"/>
      <c r="K16" s="1109"/>
      <c r="L16" s="1109"/>
    </row>
    <row r="17" spans="1:12" ht="15.75" customHeight="1">
      <c r="A17" s="24"/>
      <c r="B17" s="1265" t="s">
        <v>490</v>
      </c>
      <c r="C17" s="1265"/>
      <c r="D17" s="1265"/>
      <c r="E17" s="1265"/>
      <c r="F17" s="1265"/>
      <c r="G17" s="1265"/>
      <c r="H17" s="1265"/>
      <c r="I17" s="1265"/>
      <c r="J17" s="1265"/>
      <c r="K17" s="1265"/>
      <c r="L17" s="1265"/>
    </row>
    <row r="18" spans="1:12" ht="18.75">
      <c r="A18" s="24"/>
      <c r="B18" s="22"/>
      <c r="C18" s="233"/>
      <c r="D18" s="233"/>
      <c r="E18" s="233"/>
      <c r="F18" s="233"/>
      <c r="G18" s="233"/>
    </row>
    <row r="19" spans="1:12" ht="15.75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2" ht="18.75">
      <c r="B20" s="26"/>
      <c r="C20" s="233"/>
      <c r="D20" s="233"/>
      <c r="E20" s="233"/>
      <c r="F20" s="233"/>
      <c r="G20" s="233"/>
    </row>
    <row r="21" spans="1:12" ht="15.75">
      <c r="B21" s="878"/>
      <c r="C21" s="878"/>
      <c r="D21" s="878"/>
      <c r="E21" s="878"/>
      <c r="F21" s="878"/>
      <c r="G21" s="878"/>
      <c r="H21" s="22"/>
      <c r="I21" s="22"/>
      <c r="J21" s="22"/>
    </row>
    <row r="22" spans="1:12" ht="15.75">
      <c r="B22" s="878"/>
      <c r="C22" s="878"/>
      <c r="D22" s="878"/>
      <c r="E22" s="878"/>
      <c r="F22" s="878"/>
      <c r="G22" s="878"/>
      <c r="H22" s="22"/>
      <c r="I22" s="22"/>
      <c r="J22" s="22"/>
    </row>
    <row r="23" spans="1:12" ht="15.75">
      <c r="B23" s="22"/>
      <c r="C23" s="879"/>
      <c r="D23" s="879"/>
      <c r="E23" s="879"/>
      <c r="F23" s="879"/>
      <c r="G23" s="879"/>
      <c r="H23" s="879"/>
      <c r="I23" s="879"/>
      <c r="J23" s="812"/>
    </row>
    <row r="24" spans="1:12" ht="15.75">
      <c r="B24" s="22"/>
      <c r="C24" s="22"/>
      <c r="D24" s="22"/>
      <c r="E24" s="22"/>
      <c r="F24" s="22"/>
      <c r="G24" s="22"/>
      <c r="H24" s="22"/>
      <c r="I24" s="22"/>
      <c r="J24" s="22"/>
    </row>
    <row r="25" spans="1:12" ht="15.75">
      <c r="B25" s="22"/>
      <c r="C25" s="22"/>
      <c r="D25" s="22"/>
      <c r="E25" s="22"/>
      <c r="F25" s="22"/>
      <c r="G25" s="22"/>
      <c r="H25" s="22"/>
      <c r="I25" s="22"/>
      <c r="J25" s="22"/>
    </row>
    <row r="26" spans="1:12" ht="15.75">
      <c r="B26" s="22"/>
      <c r="C26" s="22"/>
      <c r="D26" s="22"/>
      <c r="E26" s="22"/>
      <c r="F26" s="22"/>
      <c r="G26" s="22"/>
      <c r="H26" s="22"/>
      <c r="I26" s="22"/>
      <c r="J26" s="22"/>
    </row>
  </sheetData>
  <mergeCells count="22">
    <mergeCell ref="B21:G21"/>
    <mergeCell ref="B22:G22"/>
    <mergeCell ref="C23:G23"/>
    <mergeCell ref="H23:I23"/>
    <mergeCell ref="B17:L17"/>
    <mergeCell ref="H7:I7"/>
    <mergeCell ref="F6:I6"/>
    <mergeCell ref="K6:L7"/>
    <mergeCell ref="A6:A8"/>
    <mergeCell ref="B6:B8"/>
    <mergeCell ref="C6:C8"/>
    <mergeCell ref="D6:D8"/>
    <mergeCell ref="E6:E8"/>
    <mergeCell ref="F7:F8"/>
    <mergeCell ref="G7:G8"/>
    <mergeCell ref="A1:E1"/>
    <mergeCell ref="H1:I1"/>
    <mergeCell ref="A2:E2"/>
    <mergeCell ref="A5:I5"/>
    <mergeCell ref="A3:L3"/>
    <mergeCell ref="A4:L4"/>
    <mergeCell ref="J5:L5"/>
  </mergeCells>
  <pageMargins left="0" right="0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7"/>
  <sheetViews>
    <sheetView topLeftCell="A56" workbookViewId="0">
      <selection activeCell="AB77" sqref="AB77"/>
    </sheetView>
  </sheetViews>
  <sheetFormatPr defaultRowHeight="15"/>
  <cols>
    <col min="1" max="1" width="4.5546875" customWidth="1"/>
    <col min="2" max="2" width="11.21875" customWidth="1"/>
    <col min="3" max="3" width="5.88671875" customWidth="1"/>
    <col min="4" max="4" width="5.44140625" customWidth="1"/>
    <col min="5" max="5" width="0.33203125" customWidth="1"/>
    <col min="6" max="6" width="4.33203125" customWidth="1"/>
    <col min="7" max="7" width="1.21875" customWidth="1"/>
    <col min="8" max="8" width="4.77734375" customWidth="1"/>
    <col min="9" max="9" width="5" customWidth="1"/>
    <col min="10" max="10" width="6.77734375" customWidth="1"/>
    <col min="11" max="11" width="1.109375" customWidth="1"/>
    <col min="12" max="12" width="4.77734375" customWidth="1"/>
    <col min="13" max="13" width="0.109375" customWidth="1"/>
    <col min="14" max="14" width="6" customWidth="1"/>
    <col min="15" max="15" width="5.44140625" customWidth="1"/>
    <col min="16" max="16" width="0.33203125" customWidth="1"/>
    <col min="17" max="17" width="5.44140625" customWidth="1"/>
    <col min="18" max="18" width="0.109375" customWidth="1"/>
    <col min="19" max="19" width="5.6640625" customWidth="1"/>
    <col min="20" max="20" width="2.88671875" customWidth="1"/>
    <col min="21" max="21" width="5.6640625" customWidth="1"/>
    <col min="22" max="22" width="8.88671875" hidden="1" customWidth="1"/>
    <col min="23" max="23" width="4.6640625" customWidth="1"/>
    <col min="24" max="24" width="0.5546875" customWidth="1"/>
    <col min="25" max="25" width="4.5546875" customWidth="1"/>
    <col min="26" max="26" width="4.88671875" customWidth="1"/>
    <col min="27" max="27" width="5" customWidth="1"/>
    <col min="28" max="28" width="5.44140625" customWidth="1"/>
  </cols>
  <sheetData>
    <row r="1" spans="1:28" ht="15.75">
      <c r="A1" s="909" t="s">
        <v>49</v>
      </c>
      <c r="B1" s="909"/>
      <c r="C1" s="909"/>
      <c r="D1" s="909"/>
      <c r="E1" s="909"/>
      <c r="F1" s="909"/>
      <c r="G1" s="640"/>
      <c r="H1" s="640"/>
      <c r="I1" s="640"/>
      <c r="J1" s="641"/>
      <c r="K1" s="641"/>
      <c r="L1" s="641"/>
      <c r="M1" s="641"/>
      <c r="N1" s="641"/>
      <c r="O1" s="642"/>
      <c r="P1" s="642"/>
      <c r="Q1" s="643"/>
      <c r="R1" s="643"/>
      <c r="S1" s="643"/>
      <c r="T1" s="643"/>
      <c r="U1" s="641"/>
      <c r="V1" s="644"/>
      <c r="W1" s="644"/>
      <c r="X1" s="644"/>
      <c r="Y1" s="910"/>
      <c r="Z1" s="910"/>
      <c r="AA1" s="910"/>
      <c r="AB1" s="910"/>
    </row>
    <row r="2" spans="1:28" ht="15.75">
      <c r="A2" s="911" t="s">
        <v>39</v>
      </c>
      <c r="B2" s="911"/>
      <c r="C2" s="645"/>
      <c r="D2" s="646"/>
      <c r="E2" s="646"/>
      <c r="F2" s="646"/>
      <c r="G2" s="646"/>
      <c r="H2" s="646"/>
      <c r="I2" s="646"/>
      <c r="J2" s="647"/>
      <c r="K2" s="647"/>
      <c r="L2" s="647"/>
      <c r="M2" s="647"/>
      <c r="N2" s="647"/>
      <c r="O2" s="645"/>
      <c r="P2" s="645"/>
      <c r="Q2" s="645"/>
      <c r="R2" s="645"/>
      <c r="S2" s="645"/>
      <c r="T2" s="645"/>
      <c r="U2" s="641"/>
      <c r="V2" s="648"/>
      <c r="W2" s="648"/>
      <c r="X2" s="648"/>
      <c r="Y2" s="648"/>
      <c r="Z2" s="648"/>
      <c r="AA2" s="648"/>
      <c r="AB2" s="648"/>
    </row>
    <row r="3" spans="1:28">
      <c r="A3" s="912" t="s">
        <v>187</v>
      </c>
      <c r="B3" s="912"/>
      <c r="C3" s="912"/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2"/>
      <c r="O3" s="912"/>
      <c r="P3" s="912"/>
      <c r="Q3" s="912"/>
      <c r="R3" s="912"/>
      <c r="S3" s="912"/>
      <c r="T3" s="912"/>
      <c r="U3" s="912"/>
      <c r="V3" s="912"/>
      <c r="W3" s="912"/>
      <c r="X3" s="912"/>
      <c r="Y3" s="912"/>
      <c r="Z3" s="912"/>
      <c r="AA3" s="912"/>
      <c r="AB3" s="912"/>
    </row>
    <row r="4" spans="1:28" ht="15.75">
      <c r="A4" s="910" t="s">
        <v>162</v>
      </c>
      <c r="B4" s="910"/>
      <c r="C4" s="910"/>
      <c r="D4" s="910"/>
      <c r="E4" s="910"/>
      <c r="F4" s="910"/>
      <c r="G4" s="910"/>
      <c r="H4" s="910"/>
      <c r="I4" s="910"/>
      <c r="J4" s="910"/>
      <c r="K4" s="910"/>
      <c r="L4" s="910"/>
      <c r="M4" s="910"/>
      <c r="N4" s="910"/>
      <c r="O4" s="910"/>
      <c r="P4" s="910"/>
      <c r="Q4" s="910"/>
      <c r="R4" s="910"/>
      <c r="S4" s="910"/>
      <c r="T4" s="910"/>
      <c r="U4" s="910"/>
      <c r="V4" s="910"/>
      <c r="W4" s="910"/>
      <c r="X4" s="910"/>
      <c r="Y4" s="910"/>
      <c r="Z4" s="910"/>
      <c r="AA4" s="910"/>
      <c r="AB4" s="910"/>
    </row>
    <row r="5" spans="1:28" ht="15.75">
      <c r="A5" s="908" t="s">
        <v>336</v>
      </c>
      <c r="B5" s="908"/>
      <c r="C5" s="908"/>
      <c r="D5" s="908"/>
      <c r="E5" s="908"/>
      <c r="F5" s="908"/>
      <c r="G5" s="908"/>
      <c r="H5" s="908"/>
      <c r="I5" s="908"/>
      <c r="J5" s="908"/>
      <c r="K5" s="908"/>
      <c r="L5" s="908"/>
      <c r="M5" s="908"/>
      <c r="N5" s="908"/>
      <c r="O5" s="908"/>
      <c r="P5" s="908"/>
      <c r="Q5" s="908"/>
      <c r="R5" s="908"/>
      <c r="S5" s="908"/>
      <c r="T5" s="908"/>
      <c r="U5" s="908"/>
      <c r="V5" s="908"/>
      <c r="W5" s="908"/>
      <c r="X5" s="908"/>
      <c r="Y5" s="908"/>
      <c r="Z5" s="908"/>
      <c r="AA5" s="908"/>
      <c r="AB5" s="908"/>
    </row>
    <row r="6" spans="1:28" ht="15.75">
      <c r="A6" s="649"/>
      <c r="B6" s="650"/>
      <c r="C6" s="650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  <c r="O6" s="649"/>
      <c r="P6" s="649"/>
      <c r="Q6" s="649"/>
      <c r="R6" s="649"/>
      <c r="S6" s="649"/>
      <c r="T6" s="649"/>
      <c r="U6" s="641"/>
      <c r="V6" s="649"/>
      <c r="W6" s="649"/>
      <c r="X6" s="649"/>
      <c r="Y6" s="649"/>
      <c r="Z6" s="891"/>
      <c r="AA6" s="891"/>
      <c r="AB6" s="891"/>
    </row>
    <row r="7" spans="1:28" ht="22.5" customHeight="1">
      <c r="A7" s="903" t="s">
        <v>12</v>
      </c>
      <c r="B7" s="903" t="s">
        <v>50</v>
      </c>
      <c r="C7" s="897" t="s">
        <v>493</v>
      </c>
      <c r="D7" s="1290"/>
      <c r="E7" s="1290"/>
      <c r="F7" s="1290"/>
      <c r="G7" s="1290"/>
      <c r="H7" s="1290"/>
      <c r="I7" s="1290"/>
      <c r="J7" s="904" t="s">
        <v>494</v>
      </c>
      <c r="K7" s="904"/>
      <c r="L7" s="904"/>
      <c r="M7" s="904"/>
      <c r="N7" s="904"/>
      <c r="O7" s="905" t="s">
        <v>337</v>
      </c>
      <c r="P7" s="906"/>
      <c r="Q7" s="906"/>
      <c r="R7" s="906"/>
      <c r="S7" s="906"/>
      <c r="T7" s="892" t="s">
        <v>163</v>
      </c>
      <c r="U7" s="892"/>
      <c r="V7" s="892"/>
      <c r="W7" s="892"/>
      <c r="X7" s="892"/>
      <c r="Y7" s="892"/>
      <c r="Z7" s="892"/>
      <c r="AA7" s="892"/>
      <c r="AB7" s="893" t="s">
        <v>164</v>
      </c>
    </row>
    <row r="8" spans="1:28">
      <c r="A8" s="903"/>
      <c r="B8" s="903"/>
      <c r="C8" s="651"/>
      <c r="D8" s="900" t="s">
        <v>338</v>
      </c>
      <c r="E8" s="900" t="s">
        <v>339</v>
      </c>
      <c r="F8" s="907"/>
      <c r="G8" s="907"/>
      <c r="H8" s="907"/>
      <c r="I8" s="652"/>
      <c r="J8" s="900" t="s">
        <v>338</v>
      </c>
      <c r="K8" s="899" t="s">
        <v>340</v>
      </c>
      <c r="L8" s="899"/>
      <c r="M8" s="899"/>
      <c r="N8" s="899"/>
      <c r="O8" s="900" t="s">
        <v>338</v>
      </c>
      <c r="P8" s="905" t="s">
        <v>339</v>
      </c>
      <c r="Q8" s="904"/>
      <c r="R8" s="904"/>
      <c r="S8" s="904"/>
      <c r="T8" s="886" t="s">
        <v>51</v>
      </c>
      <c r="U8" s="882" t="s">
        <v>52</v>
      </c>
      <c r="V8" s="882" t="s">
        <v>15</v>
      </c>
      <c r="W8" s="889" t="s">
        <v>29</v>
      </c>
      <c r="X8" s="889" t="s">
        <v>53</v>
      </c>
      <c r="Y8" s="889" t="s">
        <v>54</v>
      </c>
      <c r="Z8" s="897" t="s">
        <v>55</v>
      </c>
      <c r="AA8" s="898"/>
      <c r="AB8" s="894"/>
    </row>
    <row r="9" spans="1:28">
      <c r="A9" s="903"/>
      <c r="B9" s="903"/>
      <c r="C9" s="653"/>
      <c r="D9" s="901"/>
      <c r="E9" s="899" t="s">
        <v>56</v>
      </c>
      <c r="F9" s="899" t="s">
        <v>57</v>
      </c>
      <c r="G9" s="889" t="s">
        <v>58</v>
      </c>
      <c r="H9" s="889" t="s">
        <v>54</v>
      </c>
      <c r="I9" s="653"/>
      <c r="J9" s="901"/>
      <c r="K9" s="899" t="s">
        <v>56</v>
      </c>
      <c r="L9" s="899" t="s">
        <v>57</v>
      </c>
      <c r="M9" s="889" t="s">
        <v>58</v>
      </c>
      <c r="N9" s="889" t="s">
        <v>54</v>
      </c>
      <c r="O9" s="901"/>
      <c r="P9" s="886" t="s">
        <v>56</v>
      </c>
      <c r="Q9" s="886" t="s">
        <v>57</v>
      </c>
      <c r="R9" s="889" t="s">
        <v>58</v>
      </c>
      <c r="S9" s="889" t="s">
        <v>54</v>
      </c>
      <c r="T9" s="887"/>
      <c r="U9" s="882"/>
      <c r="V9" s="882"/>
      <c r="W9" s="882"/>
      <c r="X9" s="882"/>
      <c r="Y9" s="882"/>
      <c r="Z9" s="882" t="s">
        <v>59</v>
      </c>
      <c r="AA9" s="882" t="s">
        <v>60</v>
      </c>
      <c r="AB9" s="894"/>
    </row>
    <row r="10" spans="1:28">
      <c r="A10" s="903"/>
      <c r="B10" s="903"/>
      <c r="C10" s="654"/>
      <c r="D10" s="902"/>
      <c r="E10" s="899"/>
      <c r="F10" s="899"/>
      <c r="G10" s="883"/>
      <c r="H10" s="883"/>
      <c r="I10" s="654"/>
      <c r="J10" s="902"/>
      <c r="K10" s="899"/>
      <c r="L10" s="899"/>
      <c r="M10" s="883"/>
      <c r="N10" s="883"/>
      <c r="O10" s="902"/>
      <c r="P10" s="888"/>
      <c r="Q10" s="888"/>
      <c r="R10" s="890"/>
      <c r="S10" s="890"/>
      <c r="T10" s="888"/>
      <c r="U10" s="883"/>
      <c r="V10" s="883"/>
      <c r="W10" s="883"/>
      <c r="X10" s="883"/>
      <c r="Y10" s="883"/>
      <c r="Z10" s="883"/>
      <c r="AA10" s="883"/>
      <c r="AB10" s="895"/>
    </row>
    <row r="11" spans="1:28" ht="70.5" customHeight="1">
      <c r="A11" s="655">
        <v>1</v>
      </c>
      <c r="B11" s="656">
        <v>2</v>
      </c>
      <c r="C11" s="656"/>
      <c r="D11" s="657">
        <v>3</v>
      </c>
      <c r="E11" s="657">
        <v>4</v>
      </c>
      <c r="F11" s="657">
        <v>5</v>
      </c>
      <c r="G11" s="657">
        <v>6</v>
      </c>
      <c r="H11" s="657">
        <v>7</v>
      </c>
      <c r="I11" s="657"/>
      <c r="J11" s="657">
        <v>9</v>
      </c>
      <c r="K11" s="657">
        <v>10</v>
      </c>
      <c r="L11" s="658">
        <v>11</v>
      </c>
      <c r="M11" s="658">
        <v>12</v>
      </c>
      <c r="N11" s="658">
        <v>13</v>
      </c>
      <c r="O11" s="655" t="s">
        <v>61</v>
      </c>
      <c r="P11" s="656" t="s">
        <v>62</v>
      </c>
      <c r="Q11" s="655" t="s">
        <v>63</v>
      </c>
      <c r="R11" s="655" t="s">
        <v>64</v>
      </c>
      <c r="S11" s="655" t="s">
        <v>65</v>
      </c>
      <c r="T11" s="655">
        <v>21</v>
      </c>
      <c r="U11" s="656" t="s">
        <v>341</v>
      </c>
      <c r="V11" s="656" t="s">
        <v>342</v>
      </c>
      <c r="W11" s="656" t="s">
        <v>343</v>
      </c>
      <c r="X11" s="656" t="s">
        <v>344</v>
      </c>
      <c r="Y11" s="656" t="s">
        <v>345</v>
      </c>
      <c r="Z11" s="659" t="s">
        <v>66</v>
      </c>
      <c r="AA11" s="659" t="s">
        <v>67</v>
      </c>
      <c r="AB11" s="656" t="s">
        <v>68</v>
      </c>
    </row>
    <row r="12" spans="1:28">
      <c r="A12" s="896" t="s">
        <v>346</v>
      </c>
      <c r="B12" s="896"/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6"/>
      <c r="T12" s="896"/>
      <c r="U12" s="896"/>
      <c r="V12" s="896"/>
      <c r="W12" s="896"/>
      <c r="X12" s="896"/>
      <c r="Y12" s="896"/>
      <c r="Z12" s="896"/>
      <c r="AA12" s="896"/>
      <c r="AB12" s="896"/>
    </row>
    <row r="13" spans="1:28">
      <c r="A13" s="1271">
        <v>1</v>
      </c>
      <c r="B13" s="661" t="s">
        <v>347</v>
      </c>
      <c r="C13" s="662" t="s">
        <v>348</v>
      </c>
      <c r="D13" s="663">
        <f>C13*2340</f>
        <v>8096.4</v>
      </c>
      <c r="E13" s="664"/>
      <c r="F13" s="665"/>
      <c r="G13" s="666"/>
      <c r="H13" s="667">
        <f t="shared" ref="H13:H20" si="0">(D13+E13+F13)*40%</f>
        <v>3238.56</v>
      </c>
      <c r="I13" s="662" t="s">
        <v>349</v>
      </c>
      <c r="J13" s="663">
        <f>I13*2340</f>
        <v>8564.4</v>
      </c>
      <c r="K13" s="664"/>
      <c r="L13" s="1272"/>
      <c r="M13" s="1273"/>
      <c r="N13" s="1273">
        <f>(J13+K13+L13)*40%</f>
        <v>3425.76</v>
      </c>
      <c r="O13" s="1273">
        <f>J13-D13</f>
        <v>468</v>
      </c>
      <c r="P13" s="666">
        <f>K13-E13</f>
        <v>0</v>
      </c>
      <c r="Q13" s="1273">
        <f>L13-F13</f>
        <v>0</v>
      </c>
      <c r="R13" s="1273">
        <f>M13-G13</f>
        <v>0</v>
      </c>
      <c r="S13" s="1273">
        <f>N13-H13</f>
        <v>187.20000000000027</v>
      </c>
      <c r="T13" s="668">
        <v>2</v>
      </c>
      <c r="U13" s="1273">
        <f>O13*T13</f>
        <v>936</v>
      </c>
      <c r="V13" s="1273">
        <f>P13*T13</f>
        <v>0</v>
      </c>
      <c r="W13" s="1273">
        <f>Q13*T13</f>
        <v>0</v>
      </c>
      <c r="X13" s="1273"/>
      <c r="Y13" s="1273">
        <f>S13*T13</f>
        <v>374.40000000000055</v>
      </c>
      <c r="Z13" s="1273">
        <f>(U13+V13+W13+X13)*22.5%</f>
        <v>210.6</v>
      </c>
      <c r="AA13" s="1273">
        <f>(U13+V13+W13+X13)*1%</f>
        <v>9.36</v>
      </c>
      <c r="AB13" s="690">
        <f>U13+V13+W13+X13+Y13+Z13+AA13</f>
        <v>1530.3600000000004</v>
      </c>
    </row>
    <row r="14" spans="1:28">
      <c r="A14" s="1271">
        <v>2</v>
      </c>
      <c r="B14" s="661" t="s">
        <v>350</v>
      </c>
      <c r="C14" s="662" t="s">
        <v>351</v>
      </c>
      <c r="D14" s="663">
        <f t="shared" ref="D14:D74" si="1">C14*2340</f>
        <v>7792.2</v>
      </c>
      <c r="E14" s="664"/>
      <c r="F14" s="665"/>
      <c r="G14" s="666"/>
      <c r="H14" s="667">
        <f>(D14+E14+F14)*70%</f>
        <v>5454.54</v>
      </c>
      <c r="I14" s="662" t="s">
        <v>349</v>
      </c>
      <c r="J14" s="663">
        <f t="shared" ref="J14:J74" si="2">I14*2340</f>
        <v>8564.4</v>
      </c>
      <c r="K14" s="664"/>
      <c r="L14" s="1272"/>
      <c r="M14" s="1273"/>
      <c r="N14" s="1273">
        <f>(J14+K14+L14)*70%</f>
        <v>5995.079999999999</v>
      </c>
      <c r="O14" s="1273">
        <f t="shared" ref="O14:S27" si="3">J14-D14</f>
        <v>772.19999999999982</v>
      </c>
      <c r="P14" s="666">
        <f t="shared" si="3"/>
        <v>0</v>
      </c>
      <c r="Q14" s="1273">
        <f t="shared" si="3"/>
        <v>0</v>
      </c>
      <c r="R14" s="1273">
        <f t="shared" si="3"/>
        <v>0</v>
      </c>
      <c r="S14" s="1273">
        <f t="shared" si="3"/>
        <v>540.53999999999905</v>
      </c>
      <c r="T14" s="668">
        <v>12</v>
      </c>
      <c r="U14" s="1273">
        <f t="shared" ref="U14:U74" si="4">O14*T14</f>
        <v>9266.3999999999978</v>
      </c>
      <c r="V14" s="1273">
        <f t="shared" ref="V14:V74" si="5">P14*T14</f>
        <v>0</v>
      </c>
      <c r="W14" s="1273">
        <f t="shared" ref="W14:W75" si="6">Q14*T14</f>
        <v>0</v>
      </c>
      <c r="X14" s="1273"/>
      <c r="Y14" s="1273">
        <f t="shared" ref="Y14:Y76" si="7">S14*T14</f>
        <v>6486.4799999999886</v>
      </c>
      <c r="Z14" s="1273">
        <f t="shared" ref="Z14:Z86" si="8">(U14+V14+W14+X14)*22.5%</f>
        <v>2084.9399999999996</v>
      </c>
      <c r="AA14" s="1273">
        <f t="shared" ref="AA14:AA86" si="9">(U14+V14+W14+X14)*1%</f>
        <v>92.663999999999973</v>
      </c>
      <c r="AB14" s="690">
        <f t="shared" ref="AB14:AB29" si="10">U14+V14+W14+X14+Y14+Z14+AA14</f>
        <v>17930.483999999986</v>
      </c>
    </row>
    <row r="15" spans="1:28">
      <c r="A15" s="1271">
        <v>3</v>
      </c>
      <c r="B15" s="661" t="s">
        <v>352</v>
      </c>
      <c r="C15" s="662" t="s">
        <v>353</v>
      </c>
      <c r="D15" s="663">
        <f t="shared" si="1"/>
        <v>5475.5999999999995</v>
      </c>
      <c r="E15" s="664"/>
      <c r="F15" s="669"/>
      <c r="G15" s="670"/>
      <c r="H15" s="667">
        <f t="shared" si="0"/>
        <v>2190.2399999999998</v>
      </c>
      <c r="I15" s="662" t="s">
        <v>354</v>
      </c>
      <c r="J15" s="663">
        <f t="shared" si="2"/>
        <v>6247.8</v>
      </c>
      <c r="K15" s="664"/>
      <c r="L15" s="1274"/>
      <c r="M15" s="1275"/>
      <c r="N15" s="1273">
        <f t="shared" ref="N15:N27" si="11">(J15+K15+L15)*40%</f>
        <v>2499.1200000000003</v>
      </c>
      <c r="O15" s="1273">
        <f t="shared" si="3"/>
        <v>772.20000000000073</v>
      </c>
      <c r="P15" s="666">
        <f t="shared" si="3"/>
        <v>0</v>
      </c>
      <c r="Q15" s="1273">
        <f t="shared" si="3"/>
        <v>0</v>
      </c>
      <c r="R15" s="1273">
        <f t="shared" si="3"/>
        <v>0</v>
      </c>
      <c r="S15" s="1273">
        <f t="shared" si="3"/>
        <v>308.88000000000056</v>
      </c>
      <c r="T15" s="671">
        <v>10</v>
      </c>
      <c r="U15" s="1273">
        <f t="shared" si="4"/>
        <v>7722.0000000000073</v>
      </c>
      <c r="V15" s="1273">
        <f t="shared" si="5"/>
        <v>0</v>
      </c>
      <c r="W15" s="1273">
        <f t="shared" si="6"/>
        <v>0</v>
      </c>
      <c r="X15" s="1273"/>
      <c r="Y15" s="1273">
        <f t="shared" si="7"/>
        <v>3088.8000000000056</v>
      </c>
      <c r="Z15" s="1273">
        <f t="shared" si="8"/>
        <v>1737.4500000000016</v>
      </c>
      <c r="AA15" s="1273">
        <f t="shared" si="9"/>
        <v>77.22000000000007</v>
      </c>
      <c r="AB15" s="690">
        <f t="shared" si="10"/>
        <v>12625.470000000014</v>
      </c>
    </row>
    <row r="16" spans="1:28">
      <c r="A16" s="1271">
        <v>4</v>
      </c>
      <c r="B16" s="661" t="s">
        <v>355</v>
      </c>
      <c r="C16" s="662" t="s">
        <v>353</v>
      </c>
      <c r="D16" s="663">
        <f t="shared" si="1"/>
        <v>5475.5999999999995</v>
      </c>
      <c r="E16" s="664"/>
      <c r="F16" s="672"/>
      <c r="G16" s="673"/>
      <c r="H16" s="667">
        <f t="shared" si="0"/>
        <v>2190.2399999999998</v>
      </c>
      <c r="I16" s="662" t="s">
        <v>354</v>
      </c>
      <c r="J16" s="663">
        <f t="shared" si="2"/>
        <v>6247.8</v>
      </c>
      <c r="K16" s="664"/>
      <c r="L16" s="1276"/>
      <c r="M16" s="1277"/>
      <c r="N16" s="1273">
        <f t="shared" si="11"/>
        <v>2499.1200000000003</v>
      </c>
      <c r="O16" s="1273">
        <f t="shared" si="3"/>
        <v>772.20000000000073</v>
      </c>
      <c r="P16" s="666">
        <f t="shared" si="3"/>
        <v>0</v>
      </c>
      <c r="Q16" s="1273">
        <f t="shared" si="3"/>
        <v>0</v>
      </c>
      <c r="R16" s="1273">
        <f t="shared" si="3"/>
        <v>0</v>
      </c>
      <c r="S16" s="1273">
        <f t="shared" si="3"/>
        <v>308.88000000000056</v>
      </c>
      <c r="T16" s="674">
        <v>10</v>
      </c>
      <c r="U16" s="1273">
        <f t="shared" si="4"/>
        <v>7722.0000000000073</v>
      </c>
      <c r="V16" s="1273">
        <f t="shared" si="5"/>
        <v>0</v>
      </c>
      <c r="W16" s="1273">
        <f t="shared" si="6"/>
        <v>0</v>
      </c>
      <c r="X16" s="1273"/>
      <c r="Y16" s="1273">
        <f t="shared" si="7"/>
        <v>3088.8000000000056</v>
      </c>
      <c r="Z16" s="1273">
        <f t="shared" si="8"/>
        <v>1737.4500000000016</v>
      </c>
      <c r="AA16" s="1273">
        <f t="shared" si="9"/>
        <v>77.22000000000007</v>
      </c>
      <c r="AB16" s="690">
        <f t="shared" si="10"/>
        <v>12625.470000000014</v>
      </c>
    </row>
    <row r="17" spans="1:28">
      <c r="A17" s="1271">
        <v>5</v>
      </c>
      <c r="B17" s="661" t="s">
        <v>356</v>
      </c>
      <c r="C17" s="662" t="s">
        <v>357</v>
      </c>
      <c r="D17" s="663">
        <f t="shared" si="1"/>
        <v>7815.5999999999995</v>
      </c>
      <c r="E17" s="664"/>
      <c r="F17" s="672"/>
      <c r="G17" s="673"/>
      <c r="H17" s="667">
        <f t="shared" si="0"/>
        <v>3126.24</v>
      </c>
      <c r="I17" s="662" t="s">
        <v>358</v>
      </c>
      <c r="J17" s="663">
        <f t="shared" si="2"/>
        <v>8541</v>
      </c>
      <c r="K17" s="664"/>
      <c r="L17" s="1276"/>
      <c r="M17" s="1277"/>
      <c r="N17" s="1273">
        <f t="shared" si="11"/>
        <v>3416.4</v>
      </c>
      <c r="O17" s="1273">
        <f t="shared" si="3"/>
        <v>725.40000000000055</v>
      </c>
      <c r="P17" s="666">
        <f t="shared" si="3"/>
        <v>0</v>
      </c>
      <c r="Q17" s="1273">
        <f t="shared" si="3"/>
        <v>0</v>
      </c>
      <c r="R17" s="1273">
        <f t="shared" si="3"/>
        <v>0</v>
      </c>
      <c r="S17" s="1273">
        <f t="shared" si="3"/>
        <v>290.16000000000031</v>
      </c>
      <c r="T17" s="674">
        <v>11</v>
      </c>
      <c r="U17" s="1273">
        <f t="shared" si="4"/>
        <v>7979.400000000006</v>
      </c>
      <c r="V17" s="1273">
        <f t="shared" si="5"/>
        <v>0</v>
      </c>
      <c r="W17" s="1273">
        <f t="shared" si="6"/>
        <v>0</v>
      </c>
      <c r="X17" s="1273"/>
      <c r="Y17" s="1273">
        <f t="shared" si="7"/>
        <v>3191.7600000000034</v>
      </c>
      <c r="Z17" s="1273">
        <f t="shared" si="8"/>
        <v>1795.3650000000014</v>
      </c>
      <c r="AA17" s="1273">
        <f t="shared" si="9"/>
        <v>79.794000000000068</v>
      </c>
      <c r="AB17" s="690">
        <f t="shared" si="10"/>
        <v>13046.31900000001</v>
      </c>
    </row>
    <row r="18" spans="1:28">
      <c r="A18" s="1271">
        <v>6</v>
      </c>
      <c r="B18" s="675" t="s">
        <v>359</v>
      </c>
      <c r="C18" s="662">
        <v>4.4000000000000004</v>
      </c>
      <c r="D18" s="663">
        <f t="shared" si="1"/>
        <v>10296</v>
      </c>
      <c r="E18" s="664"/>
      <c r="F18" s="672"/>
      <c r="G18" s="673"/>
      <c r="H18" s="667">
        <f t="shared" si="0"/>
        <v>4118.4000000000005</v>
      </c>
      <c r="I18" s="662">
        <v>4.74</v>
      </c>
      <c r="J18" s="663">
        <f t="shared" si="2"/>
        <v>11091.6</v>
      </c>
      <c r="K18" s="664"/>
      <c r="L18" s="1276"/>
      <c r="M18" s="1277"/>
      <c r="N18" s="1273">
        <f t="shared" si="11"/>
        <v>4436.6400000000003</v>
      </c>
      <c r="O18" s="1273">
        <f t="shared" si="3"/>
        <v>795.60000000000036</v>
      </c>
      <c r="P18" s="666">
        <f t="shared" si="3"/>
        <v>0</v>
      </c>
      <c r="Q18" s="1273">
        <f t="shared" si="3"/>
        <v>0</v>
      </c>
      <c r="R18" s="1273">
        <f t="shared" si="3"/>
        <v>0</v>
      </c>
      <c r="S18" s="1273">
        <f t="shared" si="3"/>
        <v>318.23999999999978</v>
      </c>
      <c r="T18" s="674">
        <v>12</v>
      </c>
      <c r="U18" s="1273">
        <f t="shared" si="4"/>
        <v>9547.2000000000044</v>
      </c>
      <c r="V18" s="1273">
        <f t="shared" si="5"/>
        <v>0</v>
      </c>
      <c r="W18" s="1273">
        <f t="shared" si="6"/>
        <v>0</v>
      </c>
      <c r="X18" s="1273"/>
      <c r="Y18" s="1273">
        <f t="shared" si="7"/>
        <v>3818.8799999999974</v>
      </c>
      <c r="Z18" s="1273">
        <f t="shared" si="8"/>
        <v>2148.1200000000013</v>
      </c>
      <c r="AA18" s="1273">
        <f t="shared" si="9"/>
        <v>95.472000000000051</v>
      </c>
      <c r="AB18" s="690">
        <f t="shared" si="10"/>
        <v>15609.672000000002</v>
      </c>
    </row>
    <row r="19" spans="1:28">
      <c r="A19" s="1271">
        <v>7</v>
      </c>
      <c r="B19" s="675" t="s">
        <v>360</v>
      </c>
      <c r="C19" s="662">
        <v>2.34</v>
      </c>
      <c r="D19" s="663">
        <f t="shared" si="1"/>
        <v>5475.5999999999995</v>
      </c>
      <c r="E19" s="664"/>
      <c r="F19" s="672"/>
      <c r="G19" s="673"/>
      <c r="H19" s="667">
        <f t="shared" si="0"/>
        <v>2190.2399999999998</v>
      </c>
      <c r="I19" s="662">
        <v>2.67</v>
      </c>
      <c r="J19" s="663">
        <f t="shared" si="2"/>
        <v>6247.8</v>
      </c>
      <c r="K19" s="664"/>
      <c r="L19" s="1276"/>
      <c r="M19" s="1277"/>
      <c r="N19" s="1273">
        <f t="shared" si="11"/>
        <v>2499.1200000000003</v>
      </c>
      <c r="O19" s="1273">
        <f t="shared" si="3"/>
        <v>772.20000000000073</v>
      </c>
      <c r="P19" s="666">
        <f t="shared" si="3"/>
        <v>0</v>
      </c>
      <c r="Q19" s="1273">
        <f t="shared" si="3"/>
        <v>0</v>
      </c>
      <c r="R19" s="1273">
        <f t="shared" si="3"/>
        <v>0</v>
      </c>
      <c r="S19" s="1273">
        <f t="shared" si="3"/>
        <v>308.88000000000056</v>
      </c>
      <c r="T19" s="674">
        <v>7</v>
      </c>
      <c r="U19" s="1273">
        <f t="shared" si="4"/>
        <v>5405.4000000000051</v>
      </c>
      <c r="V19" s="1273">
        <f t="shared" si="5"/>
        <v>0</v>
      </c>
      <c r="W19" s="1273">
        <f t="shared" si="6"/>
        <v>0</v>
      </c>
      <c r="X19" s="1273"/>
      <c r="Y19" s="1273">
        <f t="shared" si="7"/>
        <v>2162.1600000000039</v>
      </c>
      <c r="Z19" s="1273">
        <f t="shared" si="8"/>
        <v>1216.2150000000013</v>
      </c>
      <c r="AA19" s="1273">
        <f t="shared" si="9"/>
        <v>54.054000000000052</v>
      </c>
      <c r="AB19" s="690">
        <f t="shared" si="10"/>
        <v>8837.8290000000106</v>
      </c>
    </row>
    <row r="20" spans="1:28">
      <c r="A20" s="1271">
        <v>8</v>
      </c>
      <c r="B20" s="675" t="s">
        <v>361</v>
      </c>
      <c r="C20" s="662">
        <v>3.99</v>
      </c>
      <c r="D20" s="663">
        <f t="shared" si="1"/>
        <v>9336.6</v>
      </c>
      <c r="E20" s="664"/>
      <c r="F20" s="672"/>
      <c r="G20" s="673"/>
      <c r="H20" s="667">
        <f t="shared" si="0"/>
        <v>3734.6400000000003</v>
      </c>
      <c r="I20" s="662">
        <v>4.32</v>
      </c>
      <c r="J20" s="663">
        <f t="shared" si="2"/>
        <v>10108.800000000001</v>
      </c>
      <c r="K20" s="664"/>
      <c r="L20" s="1276"/>
      <c r="M20" s="1277"/>
      <c r="N20" s="1273">
        <f t="shared" si="11"/>
        <v>4043.5200000000004</v>
      </c>
      <c r="O20" s="1273">
        <f t="shared" si="3"/>
        <v>772.20000000000073</v>
      </c>
      <c r="P20" s="666">
        <f t="shared" si="3"/>
        <v>0</v>
      </c>
      <c r="Q20" s="1273">
        <f t="shared" si="3"/>
        <v>0</v>
      </c>
      <c r="R20" s="1273">
        <f t="shared" si="3"/>
        <v>0</v>
      </c>
      <c r="S20" s="1273">
        <f t="shared" si="3"/>
        <v>308.88000000000011</v>
      </c>
      <c r="T20" s="674">
        <v>3</v>
      </c>
      <c r="U20" s="1273">
        <f t="shared" si="4"/>
        <v>2316.6000000000022</v>
      </c>
      <c r="V20" s="1273">
        <f t="shared" si="5"/>
        <v>0</v>
      </c>
      <c r="W20" s="1273">
        <f t="shared" si="6"/>
        <v>0</v>
      </c>
      <c r="X20" s="1273"/>
      <c r="Y20" s="1273">
        <f t="shared" si="7"/>
        <v>926.64000000000033</v>
      </c>
      <c r="Z20" s="1273">
        <f t="shared" si="8"/>
        <v>521.23500000000047</v>
      </c>
      <c r="AA20" s="1273">
        <f t="shared" si="9"/>
        <v>23.166000000000022</v>
      </c>
      <c r="AB20" s="690">
        <f t="shared" si="10"/>
        <v>3787.6410000000033</v>
      </c>
    </row>
    <row r="21" spans="1:28">
      <c r="A21" s="1271">
        <v>9</v>
      </c>
      <c r="B21" s="661" t="s">
        <v>362</v>
      </c>
      <c r="C21" s="662">
        <v>4.9800000000000004</v>
      </c>
      <c r="D21" s="663"/>
      <c r="E21" s="664"/>
      <c r="F21" s="672">
        <f>4.98*5%*2340</f>
        <v>582.66000000000008</v>
      </c>
      <c r="G21" s="676"/>
      <c r="H21" s="667"/>
      <c r="I21" s="662">
        <v>4.9800000000000004</v>
      </c>
      <c r="J21" s="663">
        <f t="shared" si="2"/>
        <v>11653.2</v>
      </c>
      <c r="K21" s="664"/>
      <c r="L21" s="1276">
        <f>J21*6%</f>
        <v>699.19200000000001</v>
      </c>
      <c r="M21" s="1277"/>
      <c r="N21" s="1273"/>
      <c r="O21" s="1273">
        <f t="shared" si="3"/>
        <v>11653.2</v>
      </c>
      <c r="P21" s="666">
        <f t="shared" si="3"/>
        <v>0</v>
      </c>
      <c r="Q21" s="1273">
        <f t="shared" si="3"/>
        <v>116.53199999999993</v>
      </c>
      <c r="R21" s="1273">
        <f t="shared" si="3"/>
        <v>0</v>
      </c>
      <c r="S21" s="1273">
        <f t="shared" si="3"/>
        <v>0</v>
      </c>
      <c r="T21" s="674">
        <v>12</v>
      </c>
      <c r="U21" s="1273"/>
      <c r="V21" s="1273">
        <f t="shared" si="5"/>
        <v>0</v>
      </c>
      <c r="W21" s="1273">
        <f t="shared" si="6"/>
        <v>1398.3839999999991</v>
      </c>
      <c r="X21" s="1273"/>
      <c r="Y21" s="1273">
        <f t="shared" si="7"/>
        <v>0</v>
      </c>
      <c r="Z21" s="1273">
        <f t="shared" si="8"/>
        <v>314.63639999999981</v>
      </c>
      <c r="AA21" s="1273">
        <f t="shared" si="9"/>
        <v>13.983839999999992</v>
      </c>
      <c r="AB21" s="690">
        <f t="shared" si="10"/>
        <v>1727.0042399999991</v>
      </c>
    </row>
    <row r="22" spans="1:28">
      <c r="A22" s="1271">
        <v>10</v>
      </c>
      <c r="B22" s="675" t="s">
        <v>363</v>
      </c>
      <c r="C22" s="662">
        <v>3.33</v>
      </c>
      <c r="D22" s="663">
        <f t="shared" si="1"/>
        <v>7792.2</v>
      </c>
      <c r="E22" s="664"/>
      <c r="F22" s="672"/>
      <c r="G22" s="673"/>
      <c r="H22" s="667">
        <f t="shared" ref="H22:H27" si="12">(D22+E22+F22)*40%</f>
        <v>3116.88</v>
      </c>
      <c r="I22" s="662">
        <v>3.66</v>
      </c>
      <c r="J22" s="663">
        <f t="shared" si="2"/>
        <v>8564.4</v>
      </c>
      <c r="K22" s="664"/>
      <c r="L22" s="1276"/>
      <c r="M22" s="1277"/>
      <c r="N22" s="1273">
        <f t="shared" si="11"/>
        <v>3425.76</v>
      </c>
      <c r="O22" s="1273">
        <f t="shared" si="3"/>
        <v>772.19999999999982</v>
      </c>
      <c r="P22" s="666">
        <f t="shared" si="3"/>
        <v>0</v>
      </c>
      <c r="Q22" s="1273">
        <f t="shared" si="3"/>
        <v>0</v>
      </c>
      <c r="R22" s="1273">
        <f t="shared" si="3"/>
        <v>0</v>
      </c>
      <c r="S22" s="1273">
        <f t="shared" si="3"/>
        <v>308.88000000000011</v>
      </c>
      <c r="T22" s="674">
        <v>12</v>
      </c>
      <c r="U22" s="1273">
        <f t="shared" si="4"/>
        <v>9266.3999999999978</v>
      </c>
      <c r="V22" s="1273">
        <f t="shared" si="5"/>
        <v>0</v>
      </c>
      <c r="W22" s="1273">
        <f t="shared" si="6"/>
        <v>0</v>
      </c>
      <c r="X22" s="1273"/>
      <c r="Y22" s="1273">
        <f t="shared" si="7"/>
        <v>3706.5600000000013</v>
      </c>
      <c r="Z22" s="1273">
        <f t="shared" si="8"/>
        <v>2084.9399999999996</v>
      </c>
      <c r="AA22" s="1273">
        <f t="shared" si="9"/>
        <v>92.663999999999973</v>
      </c>
      <c r="AB22" s="690">
        <f t="shared" si="10"/>
        <v>15150.563999999998</v>
      </c>
    </row>
    <row r="23" spans="1:28">
      <c r="A23" s="1271">
        <v>11</v>
      </c>
      <c r="B23" s="675" t="s">
        <v>364</v>
      </c>
      <c r="C23" s="662">
        <v>2.34</v>
      </c>
      <c r="D23" s="663">
        <f t="shared" si="1"/>
        <v>5475.5999999999995</v>
      </c>
      <c r="E23" s="664"/>
      <c r="F23" s="672"/>
      <c r="G23" s="673"/>
      <c r="H23" s="667">
        <f t="shared" si="12"/>
        <v>2190.2399999999998</v>
      </c>
      <c r="I23" s="662">
        <v>2.67</v>
      </c>
      <c r="J23" s="663">
        <f t="shared" si="2"/>
        <v>6247.8</v>
      </c>
      <c r="K23" s="664"/>
      <c r="L23" s="1276"/>
      <c r="M23" s="1277"/>
      <c r="N23" s="1273">
        <f t="shared" si="11"/>
        <v>2499.1200000000003</v>
      </c>
      <c r="O23" s="1273">
        <f t="shared" si="3"/>
        <v>772.20000000000073</v>
      </c>
      <c r="P23" s="666">
        <f t="shared" si="3"/>
        <v>0</v>
      </c>
      <c r="Q23" s="1273">
        <f t="shared" si="3"/>
        <v>0</v>
      </c>
      <c r="R23" s="1273">
        <f t="shared" si="3"/>
        <v>0</v>
      </c>
      <c r="S23" s="1273">
        <f t="shared" si="3"/>
        <v>308.88000000000056</v>
      </c>
      <c r="T23" s="674">
        <v>10</v>
      </c>
      <c r="U23" s="1273">
        <f t="shared" si="4"/>
        <v>7722.0000000000073</v>
      </c>
      <c r="V23" s="1273">
        <f t="shared" si="5"/>
        <v>0</v>
      </c>
      <c r="W23" s="1273">
        <f t="shared" si="6"/>
        <v>0</v>
      </c>
      <c r="X23" s="1273"/>
      <c r="Y23" s="1273">
        <f t="shared" si="7"/>
        <v>3088.8000000000056</v>
      </c>
      <c r="Z23" s="1273">
        <f t="shared" si="8"/>
        <v>1737.4500000000016</v>
      </c>
      <c r="AA23" s="1273">
        <f t="shared" si="9"/>
        <v>77.22000000000007</v>
      </c>
      <c r="AB23" s="690">
        <f t="shared" si="10"/>
        <v>12625.470000000014</v>
      </c>
    </row>
    <row r="24" spans="1:28">
      <c r="A24" s="1271">
        <v>12</v>
      </c>
      <c r="B24" s="675" t="s">
        <v>365</v>
      </c>
      <c r="C24" s="662">
        <v>3.33</v>
      </c>
      <c r="D24" s="663">
        <f t="shared" si="1"/>
        <v>7792.2</v>
      </c>
      <c r="E24" s="664"/>
      <c r="F24" s="672"/>
      <c r="G24" s="673"/>
      <c r="H24" s="667">
        <f t="shared" si="12"/>
        <v>3116.88</v>
      </c>
      <c r="I24" s="662">
        <v>3.66</v>
      </c>
      <c r="J24" s="663">
        <f t="shared" si="2"/>
        <v>8564.4</v>
      </c>
      <c r="K24" s="664"/>
      <c r="L24" s="1276"/>
      <c r="M24" s="1277"/>
      <c r="N24" s="1273">
        <f t="shared" si="11"/>
        <v>3425.76</v>
      </c>
      <c r="O24" s="1273">
        <f t="shared" si="3"/>
        <v>772.19999999999982</v>
      </c>
      <c r="P24" s="666">
        <f t="shared" si="3"/>
        <v>0</v>
      </c>
      <c r="Q24" s="1273">
        <f t="shared" si="3"/>
        <v>0</v>
      </c>
      <c r="R24" s="1273">
        <f t="shared" si="3"/>
        <v>0</v>
      </c>
      <c r="S24" s="1273">
        <f t="shared" si="3"/>
        <v>308.88000000000011</v>
      </c>
      <c r="T24" s="674">
        <v>9</v>
      </c>
      <c r="U24" s="1273">
        <f t="shared" si="4"/>
        <v>6949.7999999999984</v>
      </c>
      <c r="V24" s="1273">
        <f t="shared" si="5"/>
        <v>0</v>
      </c>
      <c r="W24" s="1273">
        <f t="shared" si="6"/>
        <v>0</v>
      </c>
      <c r="X24" s="1273"/>
      <c r="Y24" s="1273">
        <f t="shared" si="7"/>
        <v>2779.920000000001</v>
      </c>
      <c r="Z24" s="1273">
        <f t="shared" si="8"/>
        <v>1563.7049999999997</v>
      </c>
      <c r="AA24" s="1273">
        <f t="shared" si="9"/>
        <v>69.49799999999999</v>
      </c>
      <c r="AB24" s="690">
        <f t="shared" si="10"/>
        <v>11362.922999999999</v>
      </c>
    </row>
    <row r="25" spans="1:28">
      <c r="A25" s="1271">
        <v>13</v>
      </c>
      <c r="B25" s="675" t="s">
        <v>244</v>
      </c>
      <c r="C25" s="662">
        <v>3.26</v>
      </c>
      <c r="D25" s="663">
        <f t="shared" si="1"/>
        <v>7628.4</v>
      </c>
      <c r="E25" s="664"/>
      <c r="F25" s="672"/>
      <c r="G25" s="673"/>
      <c r="H25" s="667">
        <f t="shared" si="12"/>
        <v>3051.36</v>
      </c>
      <c r="I25" s="662">
        <v>3.46</v>
      </c>
      <c r="J25" s="663">
        <f t="shared" si="2"/>
        <v>8096.4</v>
      </c>
      <c r="K25" s="664"/>
      <c r="L25" s="1276"/>
      <c r="M25" s="1277"/>
      <c r="N25" s="1273">
        <f t="shared" si="11"/>
        <v>3238.56</v>
      </c>
      <c r="O25" s="1273">
        <f t="shared" si="3"/>
        <v>468</v>
      </c>
      <c r="P25" s="666">
        <f t="shared" si="3"/>
        <v>0</v>
      </c>
      <c r="Q25" s="1273">
        <f t="shared" si="3"/>
        <v>0</v>
      </c>
      <c r="R25" s="1273">
        <f t="shared" si="3"/>
        <v>0</v>
      </c>
      <c r="S25" s="1273">
        <f t="shared" si="3"/>
        <v>187.19999999999982</v>
      </c>
      <c r="T25" s="674">
        <v>9</v>
      </c>
      <c r="U25" s="1273">
        <f t="shared" si="4"/>
        <v>4212</v>
      </c>
      <c r="V25" s="1273">
        <f t="shared" si="5"/>
        <v>0</v>
      </c>
      <c r="W25" s="1273">
        <f t="shared" si="6"/>
        <v>0</v>
      </c>
      <c r="X25" s="1273"/>
      <c r="Y25" s="1273">
        <f t="shared" si="7"/>
        <v>1684.7999999999984</v>
      </c>
      <c r="Z25" s="1273">
        <f t="shared" si="8"/>
        <v>947.7</v>
      </c>
      <c r="AA25" s="1273">
        <f t="shared" si="9"/>
        <v>42.12</v>
      </c>
      <c r="AB25" s="690">
        <f t="shared" si="10"/>
        <v>6886.6199999999981</v>
      </c>
    </row>
    <row r="26" spans="1:28">
      <c r="A26" s="1271">
        <v>14</v>
      </c>
      <c r="B26" s="675" t="s">
        <v>366</v>
      </c>
      <c r="C26" s="662">
        <v>4.0599999999999996</v>
      </c>
      <c r="D26" s="663">
        <f t="shared" si="1"/>
        <v>9500.4</v>
      </c>
      <c r="E26" s="664"/>
      <c r="F26" s="672">
        <f>4.06*9%*2340</f>
        <v>855.03599999999983</v>
      </c>
      <c r="G26" s="673"/>
      <c r="H26" s="667">
        <f t="shared" si="12"/>
        <v>4142.1743999999999</v>
      </c>
      <c r="I26" s="662">
        <v>4.0599999999999996</v>
      </c>
      <c r="J26" s="663">
        <f t="shared" si="2"/>
        <v>9500.4</v>
      </c>
      <c r="K26" s="664"/>
      <c r="L26" s="1276">
        <f>J26*10%</f>
        <v>950.04</v>
      </c>
      <c r="M26" s="1277"/>
      <c r="N26" s="1273">
        <f t="shared" si="11"/>
        <v>4180.1759999999995</v>
      </c>
      <c r="O26" s="1273">
        <f t="shared" si="3"/>
        <v>0</v>
      </c>
      <c r="P26" s="666">
        <f t="shared" si="3"/>
        <v>0</v>
      </c>
      <c r="Q26" s="1273">
        <f t="shared" si="3"/>
        <v>95.004000000000133</v>
      </c>
      <c r="R26" s="1273">
        <f t="shared" si="3"/>
        <v>0</v>
      </c>
      <c r="S26" s="1273">
        <f t="shared" si="3"/>
        <v>38.001599999999598</v>
      </c>
      <c r="T26" s="674">
        <v>8</v>
      </c>
      <c r="U26" s="1273">
        <f t="shared" si="4"/>
        <v>0</v>
      </c>
      <c r="V26" s="1273">
        <f t="shared" si="5"/>
        <v>0</v>
      </c>
      <c r="W26" s="1273">
        <f t="shared" si="6"/>
        <v>760.03200000000106</v>
      </c>
      <c r="X26" s="1273"/>
      <c r="Y26" s="1273">
        <f t="shared" si="7"/>
        <v>304.01279999999679</v>
      </c>
      <c r="Z26" s="1273">
        <f t="shared" si="8"/>
        <v>171.00720000000024</v>
      </c>
      <c r="AA26" s="1273">
        <f t="shared" si="9"/>
        <v>7.6003200000000106</v>
      </c>
      <c r="AB26" s="690">
        <f t="shared" si="10"/>
        <v>1242.6523199999981</v>
      </c>
    </row>
    <row r="27" spans="1:28">
      <c r="A27" s="1271">
        <v>15</v>
      </c>
      <c r="B27" s="677" t="s">
        <v>367</v>
      </c>
      <c r="C27" s="678">
        <v>4.0599999999999996</v>
      </c>
      <c r="D27" s="663">
        <f t="shared" si="1"/>
        <v>9500.4</v>
      </c>
      <c r="E27" s="679"/>
      <c r="F27" s="680">
        <f>4.06*7%*2340</f>
        <v>665.02800000000002</v>
      </c>
      <c r="G27" s="676"/>
      <c r="H27" s="681">
        <f t="shared" si="12"/>
        <v>4066.1712000000002</v>
      </c>
      <c r="I27" s="682">
        <v>4.0599999999999996</v>
      </c>
      <c r="J27" s="663">
        <f t="shared" si="2"/>
        <v>9500.4</v>
      </c>
      <c r="K27" s="679"/>
      <c r="L27" s="1278">
        <f>J27*8%</f>
        <v>760.03200000000004</v>
      </c>
      <c r="M27" s="1279"/>
      <c r="N27" s="1280">
        <f t="shared" si="11"/>
        <v>4104.1727999999994</v>
      </c>
      <c r="O27" s="1280">
        <f t="shared" si="3"/>
        <v>0</v>
      </c>
      <c r="P27" s="683">
        <f t="shared" si="3"/>
        <v>0</v>
      </c>
      <c r="Q27" s="1280">
        <f t="shared" si="3"/>
        <v>95.004000000000019</v>
      </c>
      <c r="R27" s="1280">
        <f t="shared" si="3"/>
        <v>0</v>
      </c>
      <c r="S27" s="1280">
        <f t="shared" si="3"/>
        <v>38.001599999999144</v>
      </c>
      <c r="T27" s="684">
        <v>11</v>
      </c>
      <c r="U27" s="1273">
        <f t="shared" si="4"/>
        <v>0</v>
      </c>
      <c r="V27" s="1273">
        <f t="shared" si="5"/>
        <v>0</v>
      </c>
      <c r="W27" s="1273">
        <f t="shared" si="6"/>
        <v>1045.0440000000003</v>
      </c>
      <c r="X27" s="1273"/>
      <c r="Y27" s="1273">
        <f t="shared" si="7"/>
        <v>418.01759999999058</v>
      </c>
      <c r="Z27" s="1280">
        <f t="shared" si="8"/>
        <v>235.13490000000007</v>
      </c>
      <c r="AA27" s="1280">
        <f t="shared" si="9"/>
        <v>10.450440000000004</v>
      </c>
      <c r="AB27" s="690">
        <f t="shared" si="10"/>
        <v>1708.646939999991</v>
      </c>
    </row>
    <row r="28" spans="1:28" s="519" customFormat="1">
      <c r="A28" s="1271">
        <v>16</v>
      </c>
      <c r="B28" s="675" t="s">
        <v>253</v>
      </c>
      <c r="C28" s="809">
        <v>1.9890000000000001</v>
      </c>
      <c r="D28" s="663">
        <f t="shared" si="1"/>
        <v>4654.26</v>
      </c>
      <c r="E28" s="679"/>
      <c r="F28" s="680"/>
      <c r="G28" s="676"/>
      <c r="H28" s="681"/>
      <c r="I28" s="682">
        <v>2.34</v>
      </c>
      <c r="J28" s="663">
        <f>I28*2340</f>
        <v>5475.5999999999995</v>
      </c>
      <c r="K28" s="679"/>
      <c r="L28" s="1278"/>
      <c r="M28" s="1279"/>
      <c r="N28" s="1280"/>
      <c r="O28" s="1280">
        <f>J28-D28</f>
        <v>821.33999999999924</v>
      </c>
      <c r="P28" s="683"/>
      <c r="Q28" s="1280"/>
      <c r="R28" s="1280"/>
      <c r="S28" s="1280"/>
      <c r="T28" s="684">
        <v>12</v>
      </c>
      <c r="U28" s="1273">
        <f t="shared" si="4"/>
        <v>9856.0799999999908</v>
      </c>
      <c r="V28" s="1273"/>
      <c r="W28" s="1273"/>
      <c r="X28" s="1273"/>
      <c r="Y28" s="1273"/>
      <c r="Z28" s="1280">
        <f t="shared" si="8"/>
        <v>2217.6179999999981</v>
      </c>
      <c r="AA28" s="1280">
        <f t="shared" si="9"/>
        <v>98.560799999999915</v>
      </c>
      <c r="AB28" s="690">
        <f t="shared" si="10"/>
        <v>12172.258799999989</v>
      </c>
    </row>
    <row r="29" spans="1:28" s="519" customFormat="1">
      <c r="A29" s="1271">
        <v>17</v>
      </c>
      <c r="B29" s="675" t="s">
        <v>240</v>
      </c>
      <c r="C29" s="809">
        <v>1.9890000000000001</v>
      </c>
      <c r="D29" s="663">
        <f t="shared" si="1"/>
        <v>4654.26</v>
      </c>
      <c r="E29" s="679"/>
      <c r="F29" s="680"/>
      <c r="G29" s="676"/>
      <c r="H29" s="681"/>
      <c r="I29" s="682">
        <v>2.34</v>
      </c>
      <c r="J29" s="663">
        <f>I29*2340</f>
        <v>5475.5999999999995</v>
      </c>
      <c r="K29" s="679"/>
      <c r="L29" s="1278"/>
      <c r="M29" s="1279"/>
      <c r="N29" s="1280"/>
      <c r="O29" s="1280">
        <f>J29-D29</f>
        <v>821.33999999999924</v>
      </c>
      <c r="P29" s="683"/>
      <c r="Q29" s="1280"/>
      <c r="R29" s="1280"/>
      <c r="S29" s="1280"/>
      <c r="T29" s="684">
        <v>12</v>
      </c>
      <c r="U29" s="1273">
        <f t="shared" si="4"/>
        <v>9856.0799999999908</v>
      </c>
      <c r="V29" s="1273"/>
      <c r="W29" s="1273"/>
      <c r="X29" s="1273"/>
      <c r="Y29" s="1273"/>
      <c r="Z29" s="1280">
        <f t="shared" si="8"/>
        <v>2217.6179999999981</v>
      </c>
      <c r="AA29" s="1280">
        <f t="shared" si="9"/>
        <v>98.560799999999915</v>
      </c>
      <c r="AB29" s="690">
        <f t="shared" si="10"/>
        <v>12172.258799999989</v>
      </c>
    </row>
    <row r="30" spans="1:28">
      <c r="A30" s="685" t="s">
        <v>13</v>
      </c>
      <c r="B30" s="686"/>
      <c r="C30" s="687"/>
      <c r="D30" s="663"/>
      <c r="E30" s="664"/>
      <c r="F30" s="672"/>
      <c r="G30" s="688"/>
      <c r="H30" s="667">
        <f>SUM(AC:AC)</f>
        <v>0</v>
      </c>
      <c r="I30" s="662"/>
      <c r="J30" s="663">
        <f>SUM(J13:J29)</f>
        <v>138691.79999999996</v>
      </c>
      <c r="K30" s="664"/>
      <c r="L30" s="1276">
        <f>SUM(L13:L29)</f>
        <v>2409.2640000000001</v>
      </c>
      <c r="M30" s="1277"/>
      <c r="N30" s="1273">
        <f>SUM(N13:N29)</f>
        <v>49688.308800000006</v>
      </c>
      <c r="O30" s="1273">
        <f>SUM(O13:O29)</f>
        <v>21930.480000000007</v>
      </c>
      <c r="P30" s="666"/>
      <c r="Q30" s="1273">
        <f>SUM(Q13:Q27)</f>
        <v>306.54000000000008</v>
      </c>
      <c r="R30" s="1273"/>
      <c r="S30" s="1273">
        <f>SUM(S13:S27)</f>
        <v>3761.5032000000006</v>
      </c>
      <c r="T30" s="689"/>
      <c r="U30" s="1273">
        <f>SUM(U13:U29)</f>
        <v>98757.36</v>
      </c>
      <c r="V30" s="1273"/>
      <c r="W30" s="1273">
        <f>SUM(W13:W29)</f>
        <v>3203.4600000000005</v>
      </c>
      <c r="X30" s="1273"/>
      <c r="Y30" s="1273">
        <f>SUM(Y13:Y29)</f>
        <v>35120.030400000003</v>
      </c>
      <c r="Z30" s="1273">
        <f>SUM(Z13:Z29)</f>
        <v>22941.184500000003</v>
      </c>
      <c r="AA30" s="1273">
        <f>SUM(AA13:AA29)</f>
        <v>1019.6082000000001</v>
      </c>
      <c r="AB30" s="690">
        <f>SUM(AB13:AB29)</f>
        <v>161041.64309999999</v>
      </c>
    </row>
    <row r="31" spans="1:28" ht="15.75">
      <c r="A31" s="22"/>
      <c r="B31" s="22"/>
      <c r="C31" s="234"/>
      <c r="D31" s="234"/>
      <c r="E31" s="234"/>
      <c r="F31" s="234"/>
      <c r="G31" s="234"/>
      <c r="H31" s="234"/>
      <c r="I31" s="234"/>
      <c r="J31" s="234"/>
      <c r="K31" s="234"/>
      <c r="L31" s="1281"/>
      <c r="M31" s="1281"/>
      <c r="N31" s="1281"/>
      <c r="O31" s="1282"/>
      <c r="P31" s="22"/>
      <c r="Q31" s="1282"/>
      <c r="R31" s="1282"/>
      <c r="S31" s="1282"/>
      <c r="T31" s="22"/>
      <c r="U31" s="1282"/>
      <c r="V31" s="1281"/>
      <c r="W31" s="1282"/>
      <c r="X31" s="1282"/>
      <c r="Y31" s="1282"/>
      <c r="Z31" s="1282"/>
      <c r="AA31" s="1282"/>
      <c r="AB31" s="1288"/>
    </row>
    <row r="32" spans="1:28">
      <c r="A32" s="691" t="s">
        <v>368</v>
      </c>
      <c r="B32" s="692"/>
      <c r="C32" s="692"/>
      <c r="D32" s="663"/>
      <c r="E32" s="693"/>
      <c r="F32" s="694"/>
      <c r="G32" s="692"/>
      <c r="H32" s="695"/>
      <c r="I32" s="688"/>
      <c r="J32" s="663"/>
      <c r="K32" s="695"/>
      <c r="L32" s="1283"/>
      <c r="M32" s="1283"/>
      <c r="N32" s="1277"/>
      <c r="O32" s="1284"/>
      <c r="P32" s="696"/>
      <c r="Q32" s="1284"/>
      <c r="R32" s="1284"/>
      <c r="S32" s="1284"/>
      <c r="T32" s="697"/>
      <c r="U32" s="1273"/>
      <c r="V32" s="1273"/>
      <c r="W32" s="1273"/>
      <c r="X32" s="1273"/>
      <c r="Y32" s="1273"/>
      <c r="Z32" s="1273"/>
      <c r="AA32" s="1273"/>
      <c r="AB32" s="690"/>
    </row>
    <row r="33" spans="1:28">
      <c r="A33" s="1271">
        <v>1</v>
      </c>
      <c r="B33" s="698" t="s">
        <v>369</v>
      </c>
      <c r="C33" s="662">
        <v>2.41</v>
      </c>
      <c r="D33" s="663">
        <f t="shared" si="1"/>
        <v>5639.4000000000005</v>
      </c>
      <c r="E33" s="664"/>
      <c r="F33" s="672"/>
      <c r="G33" s="673"/>
      <c r="H33" s="664">
        <f>(D33+E33+F33)*40%</f>
        <v>2255.7600000000002</v>
      </c>
      <c r="I33" s="662">
        <v>2.72</v>
      </c>
      <c r="J33" s="663">
        <f t="shared" si="2"/>
        <v>6364.8</v>
      </c>
      <c r="K33" s="664"/>
      <c r="L33" s="1277"/>
      <c r="M33" s="1277"/>
      <c r="N33" s="1277">
        <f>(J33+K33+L33)*40%</f>
        <v>2545.92</v>
      </c>
      <c r="O33" s="1284">
        <f t="shared" ref="O33:S86" si="13">J33-D33</f>
        <v>725.39999999999964</v>
      </c>
      <c r="P33" s="696">
        <f t="shared" si="13"/>
        <v>0</v>
      </c>
      <c r="Q33" s="1284">
        <f t="shared" si="13"/>
        <v>0</v>
      </c>
      <c r="R33" s="1284">
        <f t="shared" si="13"/>
        <v>0</v>
      </c>
      <c r="S33" s="1284">
        <f t="shared" si="13"/>
        <v>290.15999999999985</v>
      </c>
      <c r="T33" s="699">
        <v>7</v>
      </c>
      <c r="U33" s="1273">
        <f t="shared" si="4"/>
        <v>5077.7999999999975</v>
      </c>
      <c r="V33" s="1273">
        <f t="shared" si="5"/>
        <v>0</v>
      </c>
      <c r="W33" s="1273">
        <f t="shared" si="6"/>
        <v>0</v>
      </c>
      <c r="X33" s="1273"/>
      <c r="Y33" s="1273">
        <f t="shared" si="7"/>
        <v>2031.119999999999</v>
      </c>
      <c r="Z33" s="1273">
        <f t="shared" si="8"/>
        <v>1142.5049999999994</v>
      </c>
      <c r="AA33" s="1273">
        <f t="shared" si="9"/>
        <v>50.777999999999977</v>
      </c>
      <c r="AB33" s="690">
        <f t="shared" ref="AB33:AB86" si="14">U33+V33+W33+X33+Y33+Z33+AA33</f>
        <v>8302.2029999999959</v>
      </c>
    </row>
    <row r="34" spans="1:28">
      <c r="A34" s="1271">
        <v>2</v>
      </c>
      <c r="B34" s="698" t="s">
        <v>370</v>
      </c>
      <c r="C34" s="662">
        <v>3.34</v>
      </c>
      <c r="D34" s="663">
        <f t="shared" si="1"/>
        <v>7815.5999999999995</v>
      </c>
      <c r="E34" s="664"/>
      <c r="F34" s="672"/>
      <c r="G34" s="673"/>
      <c r="H34" s="664">
        <f t="shared" ref="H34:H74" si="15">(D34+E34+F34)*40%</f>
        <v>3126.24</v>
      </c>
      <c r="I34" s="662">
        <v>3.65</v>
      </c>
      <c r="J34" s="663">
        <f t="shared" si="2"/>
        <v>8541</v>
      </c>
      <c r="K34" s="664"/>
      <c r="L34" s="1277"/>
      <c r="M34" s="1277"/>
      <c r="N34" s="1277">
        <f t="shared" ref="N34:N74" si="16">(J34+K34+L34)*40%</f>
        <v>3416.4</v>
      </c>
      <c r="O34" s="1284">
        <f t="shared" si="13"/>
        <v>725.40000000000055</v>
      </c>
      <c r="P34" s="696">
        <f t="shared" si="13"/>
        <v>0</v>
      </c>
      <c r="Q34" s="1284">
        <f t="shared" si="13"/>
        <v>0</v>
      </c>
      <c r="R34" s="1284">
        <f t="shared" si="13"/>
        <v>0</v>
      </c>
      <c r="S34" s="1284">
        <f t="shared" si="13"/>
        <v>290.16000000000031</v>
      </c>
      <c r="T34" s="699">
        <v>6</v>
      </c>
      <c r="U34" s="1273">
        <f t="shared" si="4"/>
        <v>4352.4000000000033</v>
      </c>
      <c r="V34" s="1273">
        <f t="shared" si="5"/>
        <v>0</v>
      </c>
      <c r="W34" s="1273">
        <f t="shared" si="6"/>
        <v>0</v>
      </c>
      <c r="X34" s="1273"/>
      <c r="Y34" s="1273">
        <f t="shared" si="7"/>
        <v>1740.9600000000019</v>
      </c>
      <c r="Z34" s="1273">
        <f t="shared" si="8"/>
        <v>979.29000000000076</v>
      </c>
      <c r="AA34" s="1273">
        <f t="shared" si="9"/>
        <v>43.524000000000036</v>
      </c>
      <c r="AB34" s="690">
        <f t="shared" si="14"/>
        <v>7116.1740000000063</v>
      </c>
    </row>
    <row r="35" spans="1:28">
      <c r="A35" s="1271">
        <v>3</v>
      </c>
      <c r="B35" s="698" t="s">
        <v>371</v>
      </c>
      <c r="C35" s="662">
        <v>4.58</v>
      </c>
      <c r="D35" s="663">
        <f t="shared" si="1"/>
        <v>10717.2</v>
      </c>
      <c r="E35" s="664"/>
      <c r="F35" s="672"/>
      <c r="G35" s="673"/>
      <c r="H35" s="664">
        <f t="shared" si="15"/>
        <v>4286.88</v>
      </c>
      <c r="I35" s="662">
        <v>4.8899999999999997</v>
      </c>
      <c r="J35" s="663">
        <f t="shared" si="2"/>
        <v>11442.599999999999</v>
      </c>
      <c r="K35" s="664"/>
      <c r="L35" s="1277"/>
      <c r="M35" s="1277"/>
      <c r="N35" s="1277">
        <f t="shared" si="16"/>
        <v>4577.04</v>
      </c>
      <c r="O35" s="1284">
        <f t="shared" si="13"/>
        <v>725.39999999999782</v>
      </c>
      <c r="P35" s="696">
        <f t="shared" si="13"/>
        <v>0</v>
      </c>
      <c r="Q35" s="1284">
        <f t="shared" si="13"/>
        <v>0</v>
      </c>
      <c r="R35" s="1284">
        <f t="shared" si="13"/>
        <v>0</v>
      </c>
      <c r="S35" s="1284">
        <f t="shared" si="13"/>
        <v>290.15999999999985</v>
      </c>
      <c r="T35" s="699">
        <v>6</v>
      </c>
      <c r="U35" s="1273">
        <f t="shared" si="4"/>
        <v>4352.3999999999869</v>
      </c>
      <c r="V35" s="1273">
        <f t="shared" si="5"/>
        <v>0</v>
      </c>
      <c r="W35" s="1273">
        <f t="shared" si="6"/>
        <v>0</v>
      </c>
      <c r="X35" s="1273"/>
      <c r="Y35" s="1273">
        <f t="shared" si="7"/>
        <v>1740.9599999999991</v>
      </c>
      <c r="Z35" s="1273">
        <f t="shared" si="8"/>
        <v>979.28999999999712</v>
      </c>
      <c r="AA35" s="1273">
        <f t="shared" si="9"/>
        <v>43.523999999999873</v>
      </c>
      <c r="AB35" s="690">
        <f t="shared" si="14"/>
        <v>7116.1739999999827</v>
      </c>
    </row>
    <row r="36" spans="1:28">
      <c r="A36" s="1271">
        <v>4</v>
      </c>
      <c r="B36" s="698" t="s">
        <v>372</v>
      </c>
      <c r="C36" s="662">
        <v>3.26</v>
      </c>
      <c r="D36" s="663">
        <f t="shared" si="1"/>
        <v>7628.4</v>
      </c>
      <c r="E36" s="664"/>
      <c r="F36" s="672"/>
      <c r="G36" s="673"/>
      <c r="H36" s="664">
        <f t="shared" si="15"/>
        <v>3051.36</v>
      </c>
      <c r="I36" s="662">
        <v>3.46</v>
      </c>
      <c r="J36" s="663">
        <f t="shared" si="2"/>
        <v>8096.4</v>
      </c>
      <c r="K36" s="664"/>
      <c r="L36" s="1277"/>
      <c r="M36" s="1277"/>
      <c r="N36" s="1277">
        <f t="shared" si="16"/>
        <v>3238.56</v>
      </c>
      <c r="O36" s="1284">
        <f t="shared" si="13"/>
        <v>468</v>
      </c>
      <c r="P36" s="696">
        <f t="shared" si="13"/>
        <v>0</v>
      </c>
      <c r="Q36" s="1284">
        <f t="shared" si="13"/>
        <v>0</v>
      </c>
      <c r="R36" s="1284">
        <f t="shared" si="13"/>
        <v>0</v>
      </c>
      <c r="S36" s="1284">
        <f t="shared" si="13"/>
        <v>187.19999999999982</v>
      </c>
      <c r="T36" s="699">
        <v>11</v>
      </c>
      <c r="U36" s="1273">
        <f t="shared" si="4"/>
        <v>5148</v>
      </c>
      <c r="V36" s="1273">
        <f t="shared" si="5"/>
        <v>0</v>
      </c>
      <c r="W36" s="1273">
        <f t="shared" si="6"/>
        <v>0</v>
      </c>
      <c r="X36" s="1273"/>
      <c r="Y36" s="1273">
        <f t="shared" si="7"/>
        <v>2059.199999999998</v>
      </c>
      <c r="Z36" s="1273">
        <f t="shared" si="8"/>
        <v>1158.3</v>
      </c>
      <c r="AA36" s="1273">
        <f t="shared" si="9"/>
        <v>51.480000000000004</v>
      </c>
      <c r="AB36" s="690">
        <f t="shared" si="14"/>
        <v>8416.9799999999977</v>
      </c>
    </row>
    <row r="37" spans="1:28">
      <c r="A37" s="1271">
        <v>5</v>
      </c>
      <c r="B37" s="698" t="s">
        <v>373</v>
      </c>
      <c r="C37" s="662">
        <v>3.99</v>
      </c>
      <c r="D37" s="663">
        <f t="shared" si="1"/>
        <v>9336.6</v>
      </c>
      <c r="E37" s="664"/>
      <c r="F37" s="672"/>
      <c r="G37" s="673"/>
      <c r="H37" s="664">
        <f t="shared" si="15"/>
        <v>3734.6400000000003</v>
      </c>
      <c r="I37" s="662">
        <v>4.32</v>
      </c>
      <c r="J37" s="663">
        <f t="shared" si="2"/>
        <v>10108.800000000001</v>
      </c>
      <c r="K37" s="664"/>
      <c r="L37" s="1277"/>
      <c r="M37" s="1277"/>
      <c r="N37" s="1277">
        <f t="shared" si="16"/>
        <v>4043.5200000000004</v>
      </c>
      <c r="O37" s="1284">
        <f t="shared" si="13"/>
        <v>772.20000000000073</v>
      </c>
      <c r="P37" s="696"/>
      <c r="Q37" s="1284"/>
      <c r="R37" s="1284"/>
      <c r="S37" s="1284">
        <f t="shared" si="13"/>
        <v>308.88000000000011</v>
      </c>
      <c r="T37" s="699">
        <v>9</v>
      </c>
      <c r="U37" s="1273">
        <f t="shared" si="4"/>
        <v>6949.8000000000065</v>
      </c>
      <c r="V37" s="1273">
        <f t="shared" si="5"/>
        <v>0</v>
      </c>
      <c r="W37" s="1273">
        <f t="shared" si="6"/>
        <v>0</v>
      </c>
      <c r="X37" s="1273"/>
      <c r="Y37" s="1273">
        <f t="shared" si="7"/>
        <v>2779.920000000001</v>
      </c>
      <c r="Z37" s="1273">
        <f t="shared" si="8"/>
        <v>1563.7050000000015</v>
      </c>
      <c r="AA37" s="1273">
        <f t="shared" si="9"/>
        <v>69.498000000000062</v>
      </c>
      <c r="AB37" s="690">
        <f t="shared" si="14"/>
        <v>11362.92300000001</v>
      </c>
    </row>
    <row r="38" spans="1:28">
      <c r="A38" s="1271">
        <v>6</v>
      </c>
      <c r="B38" s="700" t="s">
        <v>374</v>
      </c>
      <c r="C38" s="662">
        <v>3.34</v>
      </c>
      <c r="D38" s="663">
        <f t="shared" si="1"/>
        <v>7815.5999999999995</v>
      </c>
      <c r="E38" s="664"/>
      <c r="F38" s="672"/>
      <c r="G38" s="673"/>
      <c r="H38" s="664">
        <f t="shared" si="15"/>
        <v>3126.24</v>
      </c>
      <c r="I38" s="662">
        <v>3.65</v>
      </c>
      <c r="J38" s="663">
        <f t="shared" si="2"/>
        <v>8541</v>
      </c>
      <c r="K38" s="664"/>
      <c r="L38" s="1277"/>
      <c r="M38" s="1277"/>
      <c r="N38" s="1277">
        <f t="shared" si="16"/>
        <v>3416.4</v>
      </c>
      <c r="O38" s="1284">
        <f t="shared" si="13"/>
        <v>725.40000000000055</v>
      </c>
      <c r="P38" s="696">
        <f t="shared" si="13"/>
        <v>0</v>
      </c>
      <c r="Q38" s="1284">
        <f t="shared" si="13"/>
        <v>0</v>
      </c>
      <c r="R38" s="1284">
        <f t="shared" si="13"/>
        <v>0</v>
      </c>
      <c r="S38" s="1284">
        <f t="shared" si="13"/>
        <v>290.16000000000031</v>
      </c>
      <c r="T38" s="699">
        <v>6</v>
      </c>
      <c r="U38" s="1273">
        <f t="shared" si="4"/>
        <v>4352.4000000000033</v>
      </c>
      <c r="V38" s="1273">
        <f t="shared" si="5"/>
        <v>0</v>
      </c>
      <c r="W38" s="1273">
        <f t="shared" si="6"/>
        <v>0</v>
      </c>
      <c r="X38" s="1273"/>
      <c r="Y38" s="1273">
        <f t="shared" si="7"/>
        <v>1740.9600000000019</v>
      </c>
      <c r="Z38" s="1273">
        <f t="shared" si="8"/>
        <v>979.29000000000076</v>
      </c>
      <c r="AA38" s="1273">
        <f t="shared" si="9"/>
        <v>43.524000000000036</v>
      </c>
      <c r="AB38" s="690">
        <f t="shared" si="14"/>
        <v>7116.1740000000063</v>
      </c>
    </row>
    <row r="39" spans="1:28">
      <c r="A39" s="1271">
        <v>7</v>
      </c>
      <c r="B39" s="700" t="s">
        <v>375</v>
      </c>
      <c r="C39" s="662">
        <v>3.34</v>
      </c>
      <c r="D39" s="663">
        <f t="shared" si="1"/>
        <v>7815.5999999999995</v>
      </c>
      <c r="E39" s="664"/>
      <c r="F39" s="672"/>
      <c r="G39" s="673"/>
      <c r="H39" s="664">
        <f t="shared" si="15"/>
        <v>3126.24</v>
      </c>
      <c r="I39" s="662">
        <v>3.65</v>
      </c>
      <c r="J39" s="663">
        <f t="shared" si="2"/>
        <v>8541</v>
      </c>
      <c r="K39" s="664"/>
      <c r="L39" s="1277"/>
      <c r="M39" s="1277"/>
      <c r="N39" s="1277">
        <f t="shared" si="16"/>
        <v>3416.4</v>
      </c>
      <c r="O39" s="1284">
        <f t="shared" si="13"/>
        <v>725.40000000000055</v>
      </c>
      <c r="P39" s="696">
        <f t="shared" si="13"/>
        <v>0</v>
      </c>
      <c r="Q39" s="1284">
        <f t="shared" si="13"/>
        <v>0</v>
      </c>
      <c r="R39" s="1284">
        <f t="shared" si="13"/>
        <v>0</v>
      </c>
      <c r="S39" s="1284">
        <f t="shared" si="13"/>
        <v>290.16000000000031</v>
      </c>
      <c r="T39" s="699">
        <v>6</v>
      </c>
      <c r="U39" s="1273">
        <f t="shared" si="4"/>
        <v>4352.4000000000033</v>
      </c>
      <c r="V39" s="1273">
        <f t="shared" si="5"/>
        <v>0</v>
      </c>
      <c r="W39" s="1273">
        <f t="shared" si="6"/>
        <v>0</v>
      </c>
      <c r="X39" s="1273"/>
      <c r="Y39" s="1273">
        <f t="shared" si="7"/>
        <v>1740.9600000000019</v>
      </c>
      <c r="Z39" s="1273">
        <f t="shared" si="8"/>
        <v>979.29000000000076</v>
      </c>
      <c r="AA39" s="1273">
        <f t="shared" si="9"/>
        <v>43.524000000000036</v>
      </c>
      <c r="AB39" s="690">
        <f t="shared" si="14"/>
        <v>7116.1740000000063</v>
      </c>
    </row>
    <row r="40" spans="1:28">
      <c r="A40" s="1271">
        <v>8</v>
      </c>
      <c r="B40" s="700" t="s">
        <v>376</v>
      </c>
      <c r="C40" s="662">
        <v>3.34</v>
      </c>
      <c r="D40" s="663">
        <f t="shared" si="1"/>
        <v>7815.5999999999995</v>
      </c>
      <c r="E40" s="664"/>
      <c r="F40" s="672"/>
      <c r="G40" s="673"/>
      <c r="H40" s="664">
        <f t="shared" si="15"/>
        <v>3126.24</v>
      </c>
      <c r="I40" s="662">
        <v>3.65</v>
      </c>
      <c r="J40" s="663">
        <f t="shared" si="2"/>
        <v>8541</v>
      </c>
      <c r="K40" s="664"/>
      <c r="L40" s="1277"/>
      <c r="M40" s="1277"/>
      <c r="N40" s="1277">
        <f t="shared" si="16"/>
        <v>3416.4</v>
      </c>
      <c r="O40" s="1284">
        <f t="shared" si="13"/>
        <v>725.40000000000055</v>
      </c>
      <c r="P40" s="696">
        <f t="shared" si="13"/>
        <v>0</v>
      </c>
      <c r="Q40" s="1284">
        <f t="shared" si="13"/>
        <v>0</v>
      </c>
      <c r="R40" s="1284">
        <f t="shared" si="13"/>
        <v>0</v>
      </c>
      <c r="S40" s="1284">
        <f t="shared" si="13"/>
        <v>290.16000000000031</v>
      </c>
      <c r="T40" s="699">
        <v>12</v>
      </c>
      <c r="U40" s="1273">
        <f t="shared" si="4"/>
        <v>8704.8000000000065</v>
      </c>
      <c r="V40" s="1273">
        <f t="shared" si="5"/>
        <v>0</v>
      </c>
      <c r="W40" s="1273">
        <f t="shared" si="6"/>
        <v>0</v>
      </c>
      <c r="X40" s="1273"/>
      <c r="Y40" s="1273">
        <f t="shared" si="7"/>
        <v>3481.9200000000037</v>
      </c>
      <c r="Z40" s="1273">
        <f t="shared" si="8"/>
        <v>1958.5800000000015</v>
      </c>
      <c r="AA40" s="1273">
        <f t="shared" si="9"/>
        <v>87.048000000000073</v>
      </c>
      <c r="AB40" s="690">
        <f t="shared" si="14"/>
        <v>14232.348000000013</v>
      </c>
    </row>
    <row r="41" spans="1:28">
      <c r="A41" s="1271">
        <v>9</v>
      </c>
      <c r="B41" s="701" t="s">
        <v>377</v>
      </c>
      <c r="C41" s="662">
        <v>3.46</v>
      </c>
      <c r="D41" s="663">
        <f t="shared" si="1"/>
        <v>8096.4</v>
      </c>
      <c r="E41" s="664"/>
      <c r="F41" s="672"/>
      <c r="G41" s="673"/>
      <c r="H41" s="664">
        <f t="shared" si="15"/>
        <v>3238.56</v>
      </c>
      <c r="I41" s="662">
        <v>3.66</v>
      </c>
      <c r="J41" s="663">
        <f t="shared" si="2"/>
        <v>8564.4</v>
      </c>
      <c r="K41" s="664"/>
      <c r="L41" s="1277"/>
      <c r="M41" s="1277"/>
      <c r="N41" s="1277">
        <f t="shared" si="16"/>
        <v>3425.76</v>
      </c>
      <c r="O41" s="1284">
        <f t="shared" si="13"/>
        <v>468</v>
      </c>
      <c r="P41" s="696">
        <f t="shared" si="13"/>
        <v>0</v>
      </c>
      <c r="Q41" s="1284">
        <f t="shared" si="13"/>
        <v>0</v>
      </c>
      <c r="R41" s="1284">
        <f t="shared" si="13"/>
        <v>0</v>
      </c>
      <c r="S41" s="1284">
        <f t="shared" si="13"/>
        <v>187.20000000000027</v>
      </c>
      <c r="T41" s="699">
        <v>9</v>
      </c>
      <c r="U41" s="1273">
        <f t="shared" si="4"/>
        <v>4212</v>
      </c>
      <c r="V41" s="1273">
        <f t="shared" si="5"/>
        <v>0</v>
      </c>
      <c r="W41" s="1273">
        <f t="shared" si="6"/>
        <v>0</v>
      </c>
      <c r="X41" s="1273"/>
      <c r="Y41" s="1273">
        <f t="shared" si="7"/>
        <v>1684.8000000000025</v>
      </c>
      <c r="Z41" s="1273">
        <f t="shared" si="8"/>
        <v>947.7</v>
      </c>
      <c r="AA41" s="1273">
        <f t="shared" si="9"/>
        <v>42.12</v>
      </c>
      <c r="AB41" s="690">
        <f t="shared" si="14"/>
        <v>6886.6200000000026</v>
      </c>
    </row>
    <row r="42" spans="1:28">
      <c r="A42" s="1271">
        <v>10</v>
      </c>
      <c r="B42" s="702" t="s">
        <v>378</v>
      </c>
      <c r="C42" s="662">
        <v>4.6500000000000004</v>
      </c>
      <c r="D42" s="663">
        <f t="shared" si="1"/>
        <v>10881</v>
      </c>
      <c r="E42" s="664"/>
      <c r="F42" s="672"/>
      <c r="G42" s="673"/>
      <c r="H42" s="664">
        <f t="shared" si="15"/>
        <v>4352.4000000000005</v>
      </c>
      <c r="I42" s="662">
        <v>4.9800000000000004</v>
      </c>
      <c r="J42" s="663">
        <f t="shared" si="2"/>
        <v>11653.2</v>
      </c>
      <c r="K42" s="664"/>
      <c r="L42" s="1277"/>
      <c r="M42" s="1277"/>
      <c r="N42" s="1277">
        <f t="shared" si="16"/>
        <v>4661.2800000000007</v>
      </c>
      <c r="O42" s="1284">
        <f t="shared" si="13"/>
        <v>772.20000000000073</v>
      </c>
      <c r="P42" s="696">
        <f t="shared" si="13"/>
        <v>0</v>
      </c>
      <c r="Q42" s="1284">
        <f t="shared" si="13"/>
        <v>0</v>
      </c>
      <c r="R42" s="1284">
        <f t="shared" si="13"/>
        <v>0</v>
      </c>
      <c r="S42" s="1284">
        <f t="shared" si="13"/>
        <v>308.88000000000011</v>
      </c>
      <c r="T42" s="703">
        <v>0.5</v>
      </c>
      <c r="U42" s="1273">
        <f t="shared" si="4"/>
        <v>386.10000000000036</v>
      </c>
      <c r="V42" s="1273">
        <f t="shared" si="5"/>
        <v>0</v>
      </c>
      <c r="W42" s="1273">
        <f t="shared" si="6"/>
        <v>0</v>
      </c>
      <c r="X42" s="1273"/>
      <c r="Y42" s="1273">
        <f t="shared" si="7"/>
        <v>154.44000000000005</v>
      </c>
      <c r="Z42" s="1273">
        <f t="shared" si="8"/>
        <v>86.872500000000088</v>
      </c>
      <c r="AA42" s="1273">
        <f t="shared" si="9"/>
        <v>3.8610000000000038</v>
      </c>
      <c r="AB42" s="690">
        <f t="shared" si="14"/>
        <v>631.27350000000047</v>
      </c>
    </row>
    <row r="43" spans="1:28">
      <c r="A43" s="1271">
        <v>11</v>
      </c>
      <c r="B43" s="704" t="s">
        <v>379</v>
      </c>
      <c r="C43" s="662">
        <v>4.0599999999999996</v>
      </c>
      <c r="D43" s="663">
        <f t="shared" si="1"/>
        <v>9500.4</v>
      </c>
      <c r="E43" s="664"/>
      <c r="F43" s="672">
        <f>4.06*8%*2340</f>
        <v>760.03199999999993</v>
      </c>
      <c r="G43" s="673"/>
      <c r="H43" s="664">
        <f t="shared" si="15"/>
        <v>4104.1727999999994</v>
      </c>
      <c r="I43" s="662">
        <v>4.0599999999999996</v>
      </c>
      <c r="J43" s="663">
        <f t="shared" si="2"/>
        <v>9500.4</v>
      </c>
      <c r="K43" s="664"/>
      <c r="L43" s="1277">
        <f>J43*9%</f>
        <v>855.03599999999994</v>
      </c>
      <c r="M43" s="1277"/>
      <c r="N43" s="1277">
        <f t="shared" si="16"/>
        <v>4142.1743999999999</v>
      </c>
      <c r="O43" s="1284">
        <f t="shared" si="13"/>
        <v>0</v>
      </c>
      <c r="P43" s="696">
        <f t="shared" si="13"/>
        <v>0</v>
      </c>
      <c r="Q43" s="1284">
        <f t="shared" si="13"/>
        <v>95.004000000000019</v>
      </c>
      <c r="R43" s="1284">
        <f t="shared" si="13"/>
        <v>0</v>
      </c>
      <c r="S43" s="1284">
        <f t="shared" si="13"/>
        <v>38.001600000000508</v>
      </c>
      <c r="T43" s="699">
        <v>12</v>
      </c>
      <c r="U43" s="1273">
        <f t="shared" si="4"/>
        <v>0</v>
      </c>
      <c r="V43" s="1273">
        <f t="shared" si="5"/>
        <v>0</v>
      </c>
      <c r="W43" s="1273">
        <f t="shared" si="6"/>
        <v>1140.0480000000002</v>
      </c>
      <c r="X43" s="1273"/>
      <c r="Y43" s="1273">
        <f t="shared" si="7"/>
        <v>456.01920000000609</v>
      </c>
      <c r="Z43" s="1273">
        <f t="shared" si="8"/>
        <v>256.51080000000007</v>
      </c>
      <c r="AA43" s="1273">
        <f t="shared" si="9"/>
        <v>11.400480000000002</v>
      </c>
      <c r="AB43" s="690">
        <f t="shared" si="14"/>
        <v>1863.9784800000064</v>
      </c>
    </row>
    <row r="44" spans="1:28">
      <c r="A44" s="1271">
        <v>12</v>
      </c>
      <c r="B44" s="705" t="s">
        <v>380</v>
      </c>
      <c r="C44" s="706" t="s">
        <v>381</v>
      </c>
      <c r="D44" s="663">
        <f t="shared" si="1"/>
        <v>10108.800000000001</v>
      </c>
      <c r="E44" s="664"/>
      <c r="F44" s="672"/>
      <c r="G44" s="673"/>
      <c r="H44" s="664">
        <f t="shared" si="15"/>
        <v>4043.5200000000004</v>
      </c>
      <c r="I44" s="706" t="s">
        <v>382</v>
      </c>
      <c r="J44" s="663">
        <f t="shared" si="2"/>
        <v>10881</v>
      </c>
      <c r="K44" s="664"/>
      <c r="L44" s="1277"/>
      <c r="M44" s="1277"/>
      <c r="N44" s="1277">
        <f t="shared" si="16"/>
        <v>4352.4000000000005</v>
      </c>
      <c r="O44" s="1284">
        <f t="shared" si="13"/>
        <v>772.19999999999891</v>
      </c>
      <c r="P44" s="696">
        <f t="shared" si="13"/>
        <v>0</v>
      </c>
      <c r="Q44" s="1284">
        <f t="shared" si="13"/>
        <v>0</v>
      </c>
      <c r="R44" s="1284">
        <f t="shared" si="13"/>
        <v>0</v>
      </c>
      <c r="S44" s="1284">
        <f t="shared" si="13"/>
        <v>308.88000000000011</v>
      </c>
      <c r="T44" s="699">
        <v>12</v>
      </c>
      <c r="U44" s="1273">
        <f t="shared" si="4"/>
        <v>9266.3999999999869</v>
      </c>
      <c r="V44" s="1273">
        <f t="shared" si="5"/>
        <v>0</v>
      </c>
      <c r="W44" s="1273">
        <f t="shared" si="6"/>
        <v>0</v>
      </c>
      <c r="X44" s="1273"/>
      <c r="Y44" s="1273">
        <f t="shared" si="7"/>
        <v>3706.5600000000013</v>
      </c>
      <c r="Z44" s="1273">
        <f t="shared" si="8"/>
        <v>2084.9399999999973</v>
      </c>
      <c r="AA44" s="1273">
        <f t="shared" si="9"/>
        <v>92.663999999999874</v>
      </c>
      <c r="AB44" s="690">
        <f t="shared" si="14"/>
        <v>15150.563999999986</v>
      </c>
    </row>
    <row r="45" spans="1:28">
      <c r="A45" s="1271">
        <v>13</v>
      </c>
      <c r="B45" s="705" t="s">
        <v>383</v>
      </c>
      <c r="C45" s="706" t="s">
        <v>357</v>
      </c>
      <c r="D45" s="663">
        <f t="shared" si="1"/>
        <v>7815.5999999999995</v>
      </c>
      <c r="E45" s="664"/>
      <c r="F45" s="672"/>
      <c r="G45" s="673"/>
      <c r="H45" s="664">
        <f t="shared" si="15"/>
        <v>3126.24</v>
      </c>
      <c r="I45" s="706" t="s">
        <v>358</v>
      </c>
      <c r="J45" s="663">
        <f t="shared" si="2"/>
        <v>8541</v>
      </c>
      <c r="K45" s="664"/>
      <c r="L45" s="1277"/>
      <c r="M45" s="1277"/>
      <c r="N45" s="1277">
        <f t="shared" si="16"/>
        <v>3416.4</v>
      </c>
      <c r="O45" s="1284">
        <f t="shared" si="13"/>
        <v>725.40000000000055</v>
      </c>
      <c r="P45" s="696">
        <f t="shared" si="13"/>
        <v>0</v>
      </c>
      <c r="Q45" s="1284">
        <f t="shared" si="13"/>
        <v>0</v>
      </c>
      <c r="R45" s="1284">
        <f t="shared" si="13"/>
        <v>0</v>
      </c>
      <c r="S45" s="1284">
        <f t="shared" si="13"/>
        <v>290.16000000000031</v>
      </c>
      <c r="T45" s="699">
        <v>7</v>
      </c>
      <c r="U45" s="1273">
        <f t="shared" si="4"/>
        <v>5077.8000000000038</v>
      </c>
      <c r="V45" s="1273">
        <f t="shared" si="5"/>
        <v>0</v>
      </c>
      <c r="W45" s="1273">
        <f t="shared" si="6"/>
        <v>0</v>
      </c>
      <c r="X45" s="1273"/>
      <c r="Y45" s="1273">
        <f t="shared" si="7"/>
        <v>2031.1200000000022</v>
      </c>
      <c r="Z45" s="1273">
        <f t="shared" si="8"/>
        <v>1142.5050000000008</v>
      </c>
      <c r="AA45" s="1273">
        <f t="shared" si="9"/>
        <v>50.778000000000041</v>
      </c>
      <c r="AB45" s="690">
        <f t="shared" si="14"/>
        <v>8302.2030000000068</v>
      </c>
    </row>
    <row r="46" spans="1:28">
      <c r="A46" s="1271">
        <v>14</v>
      </c>
      <c r="B46" s="705" t="s">
        <v>384</v>
      </c>
      <c r="C46" s="662">
        <v>4.0599999999999996</v>
      </c>
      <c r="D46" s="663">
        <f t="shared" si="1"/>
        <v>9500.4</v>
      </c>
      <c r="E46" s="664"/>
      <c r="F46" s="672">
        <f>4.06*8%*2340</f>
        <v>760.03199999999993</v>
      </c>
      <c r="G46" s="673"/>
      <c r="H46" s="664">
        <f t="shared" si="15"/>
        <v>4104.1727999999994</v>
      </c>
      <c r="I46" s="662">
        <v>4.0599999999999996</v>
      </c>
      <c r="J46" s="663">
        <f t="shared" si="2"/>
        <v>9500.4</v>
      </c>
      <c r="K46" s="664"/>
      <c r="L46" s="1277">
        <f>J46*9%</f>
        <v>855.03599999999994</v>
      </c>
      <c r="M46" s="1277"/>
      <c r="N46" s="1277">
        <f t="shared" si="16"/>
        <v>4142.1743999999999</v>
      </c>
      <c r="O46" s="1284">
        <f t="shared" si="13"/>
        <v>0</v>
      </c>
      <c r="P46" s="696">
        <f t="shared" si="13"/>
        <v>0</v>
      </c>
      <c r="Q46" s="1284">
        <f t="shared" si="13"/>
        <v>95.004000000000019</v>
      </c>
      <c r="R46" s="1284">
        <f t="shared" si="13"/>
        <v>0</v>
      </c>
      <c r="S46" s="1284">
        <f t="shared" si="13"/>
        <v>38.001600000000508</v>
      </c>
      <c r="T46" s="699">
        <v>3</v>
      </c>
      <c r="U46" s="1273">
        <f t="shared" si="4"/>
        <v>0</v>
      </c>
      <c r="V46" s="1273">
        <f t="shared" si="5"/>
        <v>0</v>
      </c>
      <c r="W46" s="1273">
        <f t="shared" si="6"/>
        <v>285.01200000000006</v>
      </c>
      <c r="X46" s="1273"/>
      <c r="Y46" s="1273">
        <f t="shared" si="7"/>
        <v>114.00480000000152</v>
      </c>
      <c r="Z46" s="1273">
        <f t="shared" si="8"/>
        <v>64.127700000000019</v>
      </c>
      <c r="AA46" s="1273">
        <f t="shared" si="9"/>
        <v>2.8501200000000004</v>
      </c>
      <c r="AB46" s="690">
        <f t="shared" si="14"/>
        <v>465.99462000000159</v>
      </c>
    </row>
    <row r="47" spans="1:28">
      <c r="A47" s="1271">
        <v>15</v>
      </c>
      <c r="B47" s="701" t="s">
        <v>385</v>
      </c>
      <c r="C47" s="662">
        <v>4.9800000000000004</v>
      </c>
      <c r="D47" s="663">
        <f t="shared" si="1"/>
        <v>11653.2</v>
      </c>
      <c r="E47" s="664"/>
      <c r="F47" s="672"/>
      <c r="G47" s="673"/>
      <c r="H47" s="664">
        <f t="shared" si="15"/>
        <v>4661.2800000000007</v>
      </c>
      <c r="I47" s="662">
        <v>4.9800000000000004</v>
      </c>
      <c r="J47" s="663">
        <f t="shared" si="2"/>
        <v>11653.2</v>
      </c>
      <c r="K47" s="664"/>
      <c r="L47" s="1277">
        <f>J47*5%</f>
        <v>582.66000000000008</v>
      </c>
      <c r="M47" s="1277"/>
      <c r="N47" s="1277">
        <f t="shared" si="16"/>
        <v>4894.3440000000001</v>
      </c>
      <c r="O47" s="1284">
        <f t="shared" si="13"/>
        <v>0</v>
      </c>
      <c r="P47" s="696">
        <f t="shared" si="13"/>
        <v>0</v>
      </c>
      <c r="Q47" s="1284">
        <f t="shared" si="13"/>
        <v>582.66000000000008</v>
      </c>
      <c r="R47" s="1284">
        <f t="shared" si="13"/>
        <v>0</v>
      </c>
      <c r="S47" s="1284">
        <f t="shared" si="13"/>
        <v>233.0639999999994</v>
      </c>
      <c r="T47" s="699">
        <v>12</v>
      </c>
      <c r="U47" s="1273">
        <f t="shared" si="4"/>
        <v>0</v>
      </c>
      <c r="V47" s="1273">
        <f t="shared" si="5"/>
        <v>0</v>
      </c>
      <c r="W47" s="1273">
        <f t="shared" si="6"/>
        <v>6991.920000000001</v>
      </c>
      <c r="X47" s="1273"/>
      <c r="Y47" s="1273">
        <f t="shared" si="7"/>
        <v>2796.7679999999928</v>
      </c>
      <c r="Z47" s="1273">
        <f t="shared" si="8"/>
        <v>1573.1820000000002</v>
      </c>
      <c r="AA47" s="1273">
        <f t="shared" si="9"/>
        <v>69.919200000000018</v>
      </c>
      <c r="AB47" s="690">
        <f t="shared" si="14"/>
        <v>11431.789199999996</v>
      </c>
    </row>
    <row r="48" spans="1:28">
      <c r="A48" s="1271">
        <v>16</v>
      </c>
      <c r="B48" s="701" t="s">
        <v>386</v>
      </c>
      <c r="C48" s="662">
        <v>3.46</v>
      </c>
      <c r="D48" s="663">
        <f t="shared" si="1"/>
        <v>8096.4</v>
      </c>
      <c r="E48" s="664"/>
      <c r="F48" s="672"/>
      <c r="G48" s="673"/>
      <c r="H48" s="664">
        <f t="shared" si="15"/>
        <v>3238.56</v>
      </c>
      <c r="I48" s="662">
        <v>3.66</v>
      </c>
      <c r="J48" s="663">
        <f t="shared" si="2"/>
        <v>8564.4</v>
      </c>
      <c r="K48" s="664"/>
      <c r="L48" s="1277"/>
      <c r="M48" s="1277"/>
      <c r="N48" s="1277">
        <f t="shared" si="16"/>
        <v>3425.76</v>
      </c>
      <c r="O48" s="1284">
        <f t="shared" si="13"/>
        <v>468</v>
      </c>
      <c r="P48" s="696">
        <f t="shared" si="13"/>
        <v>0</v>
      </c>
      <c r="Q48" s="1284">
        <f t="shared" si="13"/>
        <v>0</v>
      </c>
      <c r="R48" s="1284">
        <f t="shared" si="13"/>
        <v>0</v>
      </c>
      <c r="S48" s="1284">
        <f t="shared" si="13"/>
        <v>187.20000000000027</v>
      </c>
      <c r="T48" s="699">
        <v>8</v>
      </c>
      <c r="U48" s="1273">
        <f t="shared" si="4"/>
        <v>3744</v>
      </c>
      <c r="V48" s="1273">
        <f t="shared" si="5"/>
        <v>0</v>
      </c>
      <c r="W48" s="1273">
        <f t="shared" si="6"/>
        <v>0</v>
      </c>
      <c r="X48" s="1273"/>
      <c r="Y48" s="1273">
        <f t="shared" si="7"/>
        <v>1497.6000000000022</v>
      </c>
      <c r="Z48" s="1273">
        <f t="shared" si="8"/>
        <v>842.4</v>
      </c>
      <c r="AA48" s="1273">
        <f t="shared" si="9"/>
        <v>37.44</v>
      </c>
      <c r="AB48" s="690">
        <f t="shared" si="14"/>
        <v>6121.4400000000014</v>
      </c>
    </row>
    <row r="49" spans="1:28">
      <c r="A49" s="1271">
        <v>17</v>
      </c>
      <c r="B49" s="701" t="s">
        <v>387</v>
      </c>
      <c r="C49" s="662">
        <v>2.72</v>
      </c>
      <c r="D49" s="663">
        <f t="shared" si="1"/>
        <v>6364.8</v>
      </c>
      <c r="E49" s="664"/>
      <c r="F49" s="672"/>
      <c r="G49" s="673"/>
      <c r="H49" s="664">
        <f t="shared" si="15"/>
        <v>2545.92</v>
      </c>
      <c r="I49" s="662">
        <v>3.03</v>
      </c>
      <c r="J49" s="663">
        <f t="shared" si="2"/>
        <v>7090.2</v>
      </c>
      <c r="K49" s="664"/>
      <c r="L49" s="1277"/>
      <c r="M49" s="1277"/>
      <c r="N49" s="1277">
        <f t="shared" si="16"/>
        <v>2836.08</v>
      </c>
      <c r="O49" s="1284">
        <f t="shared" si="13"/>
        <v>725.39999999999964</v>
      </c>
      <c r="P49" s="696">
        <f t="shared" si="13"/>
        <v>0</v>
      </c>
      <c r="Q49" s="1284">
        <f t="shared" si="13"/>
        <v>0</v>
      </c>
      <c r="R49" s="1284">
        <f t="shared" si="13"/>
        <v>0</v>
      </c>
      <c r="S49" s="1284">
        <f t="shared" si="13"/>
        <v>290.15999999999985</v>
      </c>
      <c r="T49" s="699">
        <v>11</v>
      </c>
      <c r="U49" s="1273">
        <f t="shared" si="4"/>
        <v>7979.399999999996</v>
      </c>
      <c r="V49" s="1273">
        <f t="shared" si="5"/>
        <v>0</v>
      </c>
      <c r="W49" s="1273">
        <f t="shared" si="6"/>
        <v>0</v>
      </c>
      <c r="X49" s="1273"/>
      <c r="Y49" s="1273">
        <f t="shared" si="7"/>
        <v>3191.7599999999984</v>
      </c>
      <c r="Z49" s="1273">
        <f t="shared" si="8"/>
        <v>1795.3649999999991</v>
      </c>
      <c r="AA49" s="1273">
        <f t="shared" si="9"/>
        <v>79.793999999999969</v>
      </c>
      <c r="AB49" s="690">
        <f t="shared" si="14"/>
        <v>13046.318999999994</v>
      </c>
    </row>
    <row r="50" spans="1:28">
      <c r="A50" s="1271">
        <v>18</v>
      </c>
      <c r="B50" s="701" t="s">
        <v>388</v>
      </c>
      <c r="C50" s="662">
        <v>2.34</v>
      </c>
      <c r="D50" s="663">
        <f t="shared" si="1"/>
        <v>5475.5999999999995</v>
      </c>
      <c r="E50" s="664"/>
      <c r="F50" s="672"/>
      <c r="G50" s="673"/>
      <c r="H50" s="664">
        <f t="shared" si="15"/>
        <v>2190.2399999999998</v>
      </c>
      <c r="I50" s="662">
        <v>2.67</v>
      </c>
      <c r="J50" s="663">
        <f t="shared" si="2"/>
        <v>6247.8</v>
      </c>
      <c r="K50" s="664"/>
      <c r="L50" s="1277"/>
      <c r="M50" s="1277"/>
      <c r="N50" s="1277">
        <f t="shared" si="16"/>
        <v>2499.1200000000003</v>
      </c>
      <c r="O50" s="1284">
        <f t="shared" si="13"/>
        <v>772.20000000000073</v>
      </c>
      <c r="P50" s="696">
        <f t="shared" si="13"/>
        <v>0</v>
      </c>
      <c r="Q50" s="1284">
        <f t="shared" si="13"/>
        <v>0</v>
      </c>
      <c r="R50" s="1284">
        <f t="shared" si="13"/>
        <v>0</v>
      </c>
      <c r="S50" s="1284">
        <f t="shared" si="13"/>
        <v>308.88000000000056</v>
      </c>
      <c r="T50" s="699">
        <v>2</v>
      </c>
      <c r="U50" s="1273">
        <f t="shared" si="4"/>
        <v>1544.4000000000015</v>
      </c>
      <c r="V50" s="1273">
        <f t="shared" si="5"/>
        <v>0</v>
      </c>
      <c r="W50" s="1273">
        <f t="shared" si="6"/>
        <v>0</v>
      </c>
      <c r="X50" s="1273"/>
      <c r="Y50" s="1273">
        <f t="shared" si="7"/>
        <v>617.76000000000113</v>
      </c>
      <c r="Z50" s="1273">
        <f t="shared" si="8"/>
        <v>347.49000000000035</v>
      </c>
      <c r="AA50" s="1273">
        <f t="shared" si="9"/>
        <v>15.444000000000015</v>
      </c>
      <c r="AB50" s="690">
        <f t="shared" si="14"/>
        <v>2525.0940000000028</v>
      </c>
    </row>
    <row r="51" spans="1:28">
      <c r="A51" s="1271">
        <v>19</v>
      </c>
      <c r="B51" s="701" t="s">
        <v>389</v>
      </c>
      <c r="C51" s="662">
        <v>1.9890000000000001</v>
      </c>
      <c r="D51" s="663">
        <f t="shared" si="1"/>
        <v>4654.26</v>
      </c>
      <c r="E51" s="664"/>
      <c r="F51" s="672"/>
      <c r="G51" s="673"/>
      <c r="H51" s="664">
        <f t="shared" si="15"/>
        <v>1861.7040000000002</v>
      </c>
      <c r="I51" s="662">
        <v>2.34</v>
      </c>
      <c r="J51" s="663">
        <f t="shared" si="2"/>
        <v>5475.5999999999995</v>
      </c>
      <c r="K51" s="664"/>
      <c r="L51" s="1277"/>
      <c r="M51" s="1277"/>
      <c r="N51" s="1277">
        <f t="shared" si="16"/>
        <v>2190.2399999999998</v>
      </c>
      <c r="O51" s="1284">
        <f t="shared" si="13"/>
        <v>821.33999999999924</v>
      </c>
      <c r="P51" s="696">
        <f t="shared" si="13"/>
        <v>0</v>
      </c>
      <c r="Q51" s="1284">
        <f t="shared" si="13"/>
        <v>0</v>
      </c>
      <c r="R51" s="1284">
        <f t="shared" si="13"/>
        <v>0</v>
      </c>
      <c r="S51" s="1284">
        <f t="shared" si="13"/>
        <v>328.5359999999996</v>
      </c>
      <c r="T51" s="699">
        <v>8</v>
      </c>
      <c r="U51" s="1273">
        <f t="shared" si="4"/>
        <v>6570.7199999999939</v>
      </c>
      <c r="V51" s="1273">
        <f t="shared" si="5"/>
        <v>0</v>
      </c>
      <c r="W51" s="1273">
        <f t="shared" si="6"/>
        <v>0</v>
      </c>
      <c r="X51" s="1273"/>
      <c r="Y51" s="1273">
        <f t="shared" si="7"/>
        <v>2628.2879999999968</v>
      </c>
      <c r="Z51" s="1273">
        <f t="shared" si="8"/>
        <v>1478.4119999999987</v>
      </c>
      <c r="AA51" s="1273">
        <f t="shared" si="9"/>
        <v>65.707199999999943</v>
      </c>
      <c r="AB51" s="690">
        <f t="shared" si="14"/>
        <v>10743.12719999999</v>
      </c>
    </row>
    <row r="52" spans="1:28">
      <c r="A52" s="1271">
        <v>20</v>
      </c>
      <c r="B52" s="698" t="s">
        <v>390</v>
      </c>
      <c r="C52" s="662">
        <v>4.58</v>
      </c>
      <c r="D52" s="663">
        <f t="shared" si="1"/>
        <v>10717.2</v>
      </c>
      <c r="E52" s="664"/>
      <c r="F52" s="672"/>
      <c r="G52" s="673"/>
      <c r="H52" s="664">
        <f t="shared" si="15"/>
        <v>4286.88</v>
      </c>
      <c r="I52" s="662">
        <v>4.8899999999999997</v>
      </c>
      <c r="J52" s="663">
        <f t="shared" si="2"/>
        <v>11442.599999999999</v>
      </c>
      <c r="K52" s="664"/>
      <c r="L52" s="1277"/>
      <c r="M52" s="1277"/>
      <c r="N52" s="1277">
        <f t="shared" si="16"/>
        <v>4577.04</v>
      </c>
      <c r="O52" s="1284">
        <f t="shared" si="13"/>
        <v>725.39999999999782</v>
      </c>
      <c r="P52" s="696">
        <f t="shared" si="13"/>
        <v>0</v>
      </c>
      <c r="Q52" s="1284">
        <f t="shared" si="13"/>
        <v>0</v>
      </c>
      <c r="R52" s="1284">
        <f t="shared" si="13"/>
        <v>0</v>
      </c>
      <c r="S52" s="1284">
        <f t="shared" si="13"/>
        <v>290.15999999999985</v>
      </c>
      <c r="T52" s="699">
        <v>6</v>
      </c>
      <c r="U52" s="1273">
        <f t="shared" si="4"/>
        <v>4352.3999999999869</v>
      </c>
      <c r="V52" s="1273">
        <f t="shared" si="5"/>
        <v>0</v>
      </c>
      <c r="W52" s="1273">
        <f t="shared" si="6"/>
        <v>0</v>
      </c>
      <c r="X52" s="1273"/>
      <c r="Y52" s="1273">
        <f t="shared" si="7"/>
        <v>1740.9599999999991</v>
      </c>
      <c r="Z52" s="1273">
        <f t="shared" si="8"/>
        <v>979.28999999999712</v>
      </c>
      <c r="AA52" s="1273">
        <f t="shared" si="9"/>
        <v>43.523999999999873</v>
      </c>
      <c r="AB52" s="690">
        <f t="shared" si="14"/>
        <v>7116.1739999999827</v>
      </c>
    </row>
    <row r="53" spans="1:28">
      <c r="A53" s="1271">
        <v>21</v>
      </c>
      <c r="B53" s="698" t="s">
        <v>391</v>
      </c>
      <c r="C53" s="662">
        <v>2.34</v>
      </c>
      <c r="D53" s="663">
        <f t="shared" si="1"/>
        <v>5475.5999999999995</v>
      </c>
      <c r="E53" s="664"/>
      <c r="F53" s="672"/>
      <c r="G53" s="673"/>
      <c r="H53" s="664">
        <f t="shared" si="15"/>
        <v>2190.2399999999998</v>
      </c>
      <c r="I53" s="662">
        <v>2.67</v>
      </c>
      <c r="J53" s="663">
        <f t="shared" si="2"/>
        <v>6247.8</v>
      </c>
      <c r="K53" s="664"/>
      <c r="L53" s="1277"/>
      <c r="M53" s="1277"/>
      <c r="N53" s="1277">
        <f t="shared" si="16"/>
        <v>2499.1200000000003</v>
      </c>
      <c r="O53" s="1284">
        <f t="shared" si="13"/>
        <v>772.20000000000073</v>
      </c>
      <c r="P53" s="696">
        <f t="shared" si="13"/>
        <v>0</v>
      </c>
      <c r="Q53" s="1284">
        <f t="shared" si="13"/>
        <v>0</v>
      </c>
      <c r="R53" s="1284">
        <f t="shared" si="13"/>
        <v>0</v>
      </c>
      <c r="S53" s="1284">
        <f t="shared" si="13"/>
        <v>308.88000000000056</v>
      </c>
      <c r="T53" s="699">
        <v>4</v>
      </c>
      <c r="U53" s="1273">
        <f t="shared" si="4"/>
        <v>3088.8000000000029</v>
      </c>
      <c r="V53" s="1273">
        <f t="shared" si="5"/>
        <v>0</v>
      </c>
      <c r="W53" s="1273">
        <f t="shared" si="6"/>
        <v>0</v>
      </c>
      <c r="X53" s="1273"/>
      <c r="Y53" s="1273">
        <f t="shared" si="7"/>
        <v>1235.5200000000023</v>
      </c>
      <c r="Z53" s="1273">
        <f t="shared" si="8"/>
        <v>694.9800000000007</v>
      </c>
      <c r="AA53" s="1273">
        <f t="shared" si="9"/>
        <v>30.88800000000003</v>
      </c>
      <c r="AB53" s="690">
        <f t="shared" si="14"/>
        <v>5050.1880000000056</v>
      </c>
    </row>
    <row r="54" spans="1:28">
      <c r="A54" s="1271">
        <v>22</v>
      </c>
      <c r="B54" s="698" t="s">
        <v>392</v>
      </c>
      <c r="C54" s="662">
        <v>3.34</v>
      </c>
      <c r="D54" s="663">
        <f t="shared" si="1"/>
        <v>7815.5999999999995</v>
      </c>
      <c r="E54" s="664"/>
      <c r="F54" s="672"/>
      <c r="G54" s="673"/>
      <c r="H54" s="664">
        <f t="shared" si="15"/>
        <v>3126.24</v>
      </c>
      <c r="I54" s="662">
        <v>3.65</v>
      </c>
      <c r="J54" s="663">
        <f t="shared" si="2"/>
        <v>8541</v>
      </c>
      <c r="K54" s="664"/>
      <c r="L54" s="1277"/>
      <c r="M54" s="1277"/>
      <c r="N54" s="1277">
        <f t="shared" si="16"/>
        <v>3416.4</v>
      </c>
      <c r="O54" s="1284">
        <f t="shared" si="13"/>
        <v>725.40000000000055</v>
      </c>
      <c r="P54" s="696">
        <f t="shared" si="13"/>
        <v>0</v>
      </c>
      <c r="Q54" s="1284">
        <f t="shared" si="13"/>
        <v>0</v>
      </c>
      <c r="R54" s="1284">
        <f t="shared" si="13"/>
        <v>0</v>
      </c>
      <c r="S54" s="1284">
        <f t="shared" si="13"/>
        <v>290.16000000000031</v>
      </c>
      <c r="T54" s="699">
        <v>6</v>
      </c>
      <c r="U54" s="1273">
        <f t="shared" si="4"/>
        <v>4352.4000000000033</v>
      </c>
      <c r="V54" s="1273">
        <f t="shared" si="5"/>
        <v>0</v>
      </c>
      <c r="W54" s="1273">
        <f t="shared" si="6"/>
        <v>0</v>
      </c>
      <c r="X54" s="1273"/>
      <c r="Y54" s="1273">
        <f t="shared" si="7"/>
        <v>1740.9600000000019</v>
      </c>
      <c r="Z54" s="1273">
        <f t="shared" si="8"/>
        <v>979.29000000000076</v>
      </c>
      <c r="AA54" s="1273">
        <f t="shared" si="9"/>
        <v>43.524000000000036</v>
      </c>
      <c r="AB54" s="690">
        <f t="shared" si="14"/>
        <v>7116.1740000000063</v>
      </c>
    </row>
    <row r="55" spans="1:28">
      <c r="A55" s="1271">
        <v>23</v>
      </c>
      <c r="B55" s="698" t="s">
        <v>393</v>
      </c>
      <c r="C55" s="662">
        <v>4.2699999999999996</v>
      </c>
      <c r="D55" s="663">
        <f t="shared" si="1"/>
        <v>9991.7999999999993</v>
      </c>
      <c r="E55" s="664"/>
      <c r="F55" s="672"/>
      <c r="G55" s="673"/>
      <c r="H55" s="664">
        <f t="shared" si="15"/>
        <v>3996.72</v>
      </c>
      <c r="I55" s="662">
        <v>4.58</v>
      </c>
      <c r="J55" s="663">
        <f t="shared" si="2"/>
        <v>10717.2</v>
      </c>
      <c r="K55" s="664"/>
      <c r="L55" s="1277"/>
      <c r="M55" s="1277"/>
      <c r="N55" s="1277">
        <f t="shared" si="16"/>
        <v>4286.88</v>
      </c>
      <c r="O55" s="1284">
        <f t="shared" si="13"/>
        <v>725.40000000000146</v>
      </c>
      <c r="P55" s="696">
        <f t="shared" si="13"/>
        <v>0</v>
      </c>
      <c r="Q55" s="1284">
        <f t="shared" si="13"/>
        <v>0</v>
      </c>
      <c r="R55" s="1284">
        <f t="shared" si="13"/>
        <v>0</v>
      </c>
      <c r="S55" s="1284">
        <f t="shared" si="13"/>
        <v>290.16000000000031</v>
      </c>
      <c r="T55" s="699">
        <v>6</v>
      </c>
      <c r="U55" s="1273">
        <f t="shared" si="4"/>
        <v>4352.4000000000087</v>
      </c>
      <c r="V55" s="1273">
        <f t="shared" si="5"/>
        <v>0</v>
      </c>
      <c r="W55" s="1273">
        <f t="shared" si="6"/>
        <v>0</v>
      </c>
      <c r="X55" s="1273"/>
      <c r="Y55" s="1273">
        <f t="shared" si="7"/>
        <v>1740.9600000000019</v>
      </c>
      <c r="Z55" s="1273">
        <f t="shared" si="8"/>
        <v>979.29000000000201</v>
      </c>
      <c r="AA55" s="1273">
        <f t="shared" si="9"/>
        <v>43.524000000000086</v>
      </c>
      <c r="AB55" s="690">
        <f t="shared" si="14"/>
        <v>7116.1740000000127</v>
      </c>
    </row>
    <row r="56" spans="1:28">
      <c r="A56" s="1271">
        <v>24</v>
      </c>
      <c r="B56" s="698" t="s">
        <v>394</v>
      </c>
      <c r="C56" s="662">
        <v>3.06</v>
      </c>
      <c r="D56" s="663">
        <f t="shared" si="1"/>
        <v>7160.4000000000005</v>
      </c>
      <c r="E56" s="664"/>
      <c r="F56" s="672"/>
      <c r="G56" s="673"/>
      <c r="H56" s="664">
        <f t="shared" si="15"/>
        <v>2864.1600000000003</v>
      </c>
      <c r="I56" s="662">
        <v>3.26</v>
      </c>
      <c r="J56" s="663">
        <f t="shared" si="2"/>
        <v>7628.4</v>
      </c>
      <c r="K56" s="664"/>
      <c r="L56" s="1277"/>
      <c r="M56" s="1277"/>
      <c r="N56" s="1277">
        <f t="shared" si="16"/>
        <v>3051.36</v>
      </c>
      <c r="O56" s="1284">
        <f t="shared" si="13"/>
        <v>467.99999999999909</v>
      </c>
      <c r="P56" s="696">
        <f t="shared" si="13"/>
        <v>0</v>
      </c>
      <c r="Q56" s="1284">
        <f t="shared" si="13"/>
        <v>0</v>
      </c>
      <c r="R56" s="1284">
        <f t="shared" si="13"/>
        <v>0</v>
      </c>
      <c r="S56" s="1284">
        <f t="shared" si="13"/>
        <v>187.19999999999982</v>
      </c>
      <c r="T56" s="699">
        <v>11</v>
      </c>
      <c r="U56" s="1273">
        <f t="shared" si="4"/>
        <v>5147.99999999999</v>
      </c>
      <c r="V56" s="1273">
        <f t="shared" si="5"/>
        <v>0</v>
      </c>
      <c r="W56" s="1273">
        <f t="shared" si="6"/>
        <v>0</v>
      </c>
      <c r="X56" s="1273"/>
      <c r="Y56" s="1273">
        <f t="shared" si="7"/>
        <v>2059.199999999998</v>
      </c>
      <c r="Z56" s="1273">
        <f t="shared" si="8"/>
        <v>1158.2999999999977</v>
      </c>
      <c r="AA56" s="1273">
        <f t="shared" si="9"/>
        <v>51.479999999999905</v>
      </c>
      <c r="AB56" s="690">
        <f t="shared" si="14"/>
        <v>8416.979999999985</v>
      </c>
    </row>
    <row r="57" spans="1:28">
      <c r="A57" s="1271">
        <v>25</v>
      </c>
      <c r="B57" s="698" t="s">
        <v>395</v>
      </c>
      <c r="C57" s="662">
        <v>4.0599999999999996</v>
      </c>
      <c r="D57" s="663">
        <f t="shared" si="1"/>
        <v>9500.4</v>
      </c>
      <c r="E57" s="664"/>
      <c r="F57" s="672">
        <f>D57*11%</f>
        <v>1045.0439999999999</v>
      </c>
      <c r="G57" s="673"/>
      <c r="H57" s="664">
        <f t="shared" si="15"/>
        <v>4218.1776</v>
      </c>
      <c r="I57" s="662">
        <v>4.0599999999999996</v>
      </c>
      <c r="J57" s="663">
        <f t="shared" si="2"/>
        <v>9500.4</v>
      </c>
      <c r="K57" s="664"/>
      <c r="L57" s="1277">
        <f>J57*12%</f>
        <v>1140.048</v>
      </c>
      <c r="M57" s="1277"/>
      <c r="N57" s="1277">
        <f t="shared" si="16"/>
        <v>4256.1792000000005</v>
      </c>
      <c r="O57" s="1284">
        <f t="shared" si="13"/>
        <v>0</v>
      </c>
      <c r="P57" s="696">
        <f t="shared" si="13"/>
        <v>0</v>
      </c>
      <c r="Q57" s="1284">
        <f t="shared" si="13"/>
        <v>95.004000000000133</v>
      </c>
      <c r="R57" s="1284">
        <f t="shared" si="13"/>
        <v>0</v>
      </c>
      <c r="S57" s="1284">
        <f t="shared" si="13"/>
        <v>38.001600000000508</v>
      </c>
      <c r="T57" s="699">
        <v>6</v>
      </c>
      <c r="U57" s="1273">
        <f t="shared" si="4"/>
        <v>0</v>
      </c>
      <c r="V57" s="1273">
        <f t="shared" si="5"/>
        <v>0</v>
      </c>
      <c r="W57" s="1273">
        <f t="shared" si="6"/>
        <v>570.0240000000008</v>
      </c>
      <c r="X57" s="1273"/>
      <c r="Y57" s="1273">
        <f t="shared" si="7"/>
        <v>228.00960000000305</v>
      </c>
      <c r="Z57" s="1273">
        <f t="shared" si="8"/>
        <v>128.25540000000018</v>
      </c>
      <c r="AA57" s="1273">
        <f t="shared" si="9"/>
        <v>5.700240000000008</v>
      </c>
      <c r="AB57" s="690">
        <f t="shared" si="14"/>
        <v>931.98924000000409</v>
      </c>
    </row>
    <row r="58" spans="1:28">
      <c r="A58" s="1271">
        <v>26</v>
      </c>
      <c r="B58" s="698" t="s">
        <v>396</v>
      </c>
      <c r="C58" s="662">
        <v>4.58</v>
      </c>
      <c r="D58" s="663">
        <f t="shared" si="1"/>
        <v>10717.2</v>
      </c>
      <c r="E58" s="664"/>
      <c r="F58" s="672"/>
      <c r="G58" s="673"/>
      <c r="H58" s="664">
        <f t="shared" si="15"/>
        <v>4286.88</v>
      </c>
      <c r="I58" s="662">
        <v>4.8899999999999997</v>
      </c>
      <c r="J58" s="663">
        <f t="shared" si="2"/>
        <v>11442.599999999999</v>
      </c>
      <c r="K58" s="664"/>
      <c r="L58" s="1277"/>
      <c r="M58" s="1277"/>
      <c r="N58" s="1277">
        <f t="shared" si="16"/>
        <v>4577.04</v>
      </c>
      <c r="O58" s="1284">
        <f t="shared" si="13"/>
        <v>725.39999999999782</v>
      </c>
      <c r="P58" s="696"/>
      <c r="Q58" s="1284"/>
      <c r="R58" s="1284"/>
      <c r="S58" s="1284">
        <f t="shared" si="13"/>
        <v>290.15999999999985</v>
      </c>
      <c r="T58" s="699">
        <v>6</v>
      </c>
      <c r="U58" s="1273">
        <f t="shared" si="4"/>
        <v>4352.3999999999869</v>
      </c>
      <c r="V58" s="1273">
        <f t="shared" si="5"/>
        <v>0</v>
      </c>
      <c r="W58" s="1273">
        <f t="shared" si="6"/>
        <v>0</v>
      </c>
      <c r="X58" s="1273"/>
      <c r="Y58" s="1273">
        <f t="shared" si="7"/>
        <v>1740.9599999999991</v>
      </c>
      <c r="Z58" s="1273">
        <f t="shared" si="8"/>
        <v>979.28999999999712</v>
      </c>
      <c r="AA58" s="1273">
        <f t="shared" si="9"/>
        <v>43.523999999999873</v>
      </c>
      <c r="AB58" s="690">
        <f t="shared" si="14"/>
        <v>7116.1739999999827</v>
      </c>
    </row>
    <row r="59" spans="1:28">
      <c r="A59" s="1271">
        <v>27</v>
      </c>
      <c r="B59" s="698" t="s">
        <v>397</v>
      </c>
      <c r="C59" s="662">
        <v>3.96</v>
      </c>
      <c r="D59" s="663">
        <f t="shared" si="1"/>
        <v>9266.4</v>
      </c>
      <c r="E59" s="664"/>
      <c r="F59" s="672"/>
      <c r="G59" s="673"/>
      <c r="H59" s="664">
        <f t="shared" si="15"/>
        <v>3706.56</v>
      </c>
      <c r="I59" s="662">
        <v>4.2699999999999996</v>
      </c>
      <c r="J59" s="663">
        <f t="shared" si="2"/>
        <v>9991.7999999999993</v>
      </c>
      <c r="K59" s="664"/>
      <c r="L59" s="1277"/>
      <c r="M59" s="1277"/>
      <c r="N59" s="1277">
        <f t="shared" si="16"/>
        <v>3996.72</v>
      </c>
      <c r="O59" s="1284">
        <f t="shared" si="13"/>
        <v>725.39999999999964</v>
      </c>
      <c r="P59" s="696">
        <f t="shared" si="13"/>
        <v>0</v>
      </c>
      <c r="Q59" s="1284">
        <f t="shared" si="13"/>
        <v>0</v>
      </c>
      <c r="R59" s="1284">
        <f t="shared" si="13"/>
        <v>0</v>
      </c>
      <c r="S59" s="1284">
        <f t="shared" si="13"/>
        <v>290.15999999999985</v>
      </c>
      <c r="T59" s="699">
        <v>6</v>
      </c>
      <c r="U59" s="1273">
        <f t="shared" si="4"/>
        <v>4352.3999999999978</v>
      </c>
      <c r="V59" s="1273">
        <f t="shared" si="5"/>
        <v>0</v>
      </c>
      <c r="W59" s="1273">
        <f t="shared" si="6"/>
        <v>0</v>
      </c>
      <c r="X59" s="1273"/>
      <c r="Y59" s="1273">
        <f t="shared" si="7"/>
        <v>1740.9599999999991</v>
      </c>
      <c r="Z59" s="1273">
        <f t="shared" si="8"/>
        <v>979.28999999999951</v>
      </c>
      <c r="AA59" s="1273">
        <f t="shared" si="9"/>
        <v>43.52399999999998</v>
      </c>
      <c r="AB59" s="690">
        <f t="shared" si="14"/>
        <v>7116.1739999999963</v>
      </c>
    </row>
    <row r="60" spans="1:28">
      <c r="A60" s="1271">
        <v>28</v>
      </c>
      <c r="B60" s="698" t="s">
        <v>398</v>
      </c>
      <c r="C60" s="662">
        <v>3.86</v>
      </c>
      <c r="D60" s="663">
        <f t="shared" si="1"/>
        <v>9032.4</v>
      </c>
      <c r="E60" s="664"/>
      <c r="F60" s="672"/>
      <c r="G60" s="673"/>
      <c r="H60" s="664">
        <f t="shared" si="15"/>
        <v>3612.96</v>
      </c>
      <c r="I60" s="662">
        <v>4.0599999999999996</v>
      </c>
      <c r="J60" s="663">
        <f t="shared" si="2"/>
        <v>9500.4</v>
      </c>
      <c r="K60" s="664"/>
      <c r="L60" s="1277"/>
      <c r="M60" s="1277"/>
      <c r="N60" s="1277">
        <f t="shared" si="16"/>
        <v>3800.16</v>
      </c>
      <c r="O60" s="1284">
        <f t="shared" si="13"/>
        <v>468</v>
      </c>
      <c r="P60" s="696">
        <f t="shared" si="13"/>
        <v>0</v>
      </c>
      <c r="Q60" s="1284">
        <f t="shared" si="13"/>
        <v>0</v>
      </c>
      <c r="R60" s="1284">
        <f t="shared" si="13"/>
        <v>0</v>
      </c>
      <c r="S60" s="1284">
        <f t="shared" si="13"/>
        <v>187.19999999999982</v>
      </c>
      <c r="T60" s="699">
        <v>8</v>
      </c>
      <c r="U60" s="1273">
        <f t="shared" si="4"/>
        <v>3744</v>
      </c>
      <c r="V60" s="1273">
        <f t="shared" si="5"/>
        <v>0</v>
      </c>
      <c r="W60" s="1273">
        <f t="shared" si="6"/>
        <v>0</v>
      </c>
      <c r="X60" s="1273"/>
      <c r="Y60" s="1273">
        <f t="shared" si="7"/>
        <v>1497.5999999999985</v>
      </c>
      <c r="Z60" s="1273">
        <f t="shared" si="8"/>
        <v>842.4</v>
      </c>
      <c r="AA60" s="1273">
        <f t="shared" si="9"/>
        <v>37.44</v>
      </c>
      <c r="AB60" s="690">
        <f t="shared" si="14"/>
        <v>6121.4399999999978</v>
      </c>
    </row>
    <row r="61" spans="1:28">
      <c r="A61" s="1271">
        <v>29</v>
      </c>
      <c r="B61" s="698" t="s">
        <v>277</v>
      </c>
      <c r="C61" s="662">
        <v>4.0599999999999996</v>
      </c>
      <c r="D61" s="663">
        <f t="shared" si="1"/>
        <v>9500.4</v>
      </c>
      <c r="E61" s="664"/>
      <c r="F61" s="672">
        <f>D61*7%</f>
        <v>665.02800000000002</v>
      </c>
      <c r="G61" s="673"/>
      <c r="H61" s="664">
        <f t="shared" si="15"/>
        <v>4066.1712000000002</v>
      </c>
      <c r="I61" s="662">
        <v>4.0599999999999996</v>
      </c>
      <c r="J61" s="663">
        <f t="shared" si="2"/>
        <v>9500.4</v>
      </c>
      <c r="K61" s="664"/>
      <c r="L61" s="1277">
        <f>J61*8%</f>
        <v>760.03200000000004</v>
      </c>
      <c r="M61" s="1277"/>
      <c r="N61" s="1277">
        <f t="shared" si="16"/>
        <v>4104.1727999999994</v>
      </c>
      <c r="O61" s="1284">
        <f t="shared" si="13"/>
        <v>0</v>
      </c>
      <c r="P61" s="696">
        <f t="shared" si="13"/>
        <v>0</v>
      </c>
      <c r="Q61" s="1284">
        <f t="shared" si="13"/>
        <v>95.004000000000019</v>
      </c>
      <c r="R61" s="1284">
        <f t="shared" si="13"/>
        <v>0</v>
      </c>
      <c r="S61" s="1284">
        <f t="shared" si="13"/>
        <v>38.001599999999144</v>
      </c>
      <c r="T61" s="699">
        <v>6</v>
      </c>
      <c r="U61" s="1273">
        <f t="shared" si="4"/>
        <v>0</v>
      </c>
      <c r="V61" s="1273">
        <f t="shared" si="5"/>
        <v>0</v>
      </c>
      <c r="W61" s="1273">
        <f t="shared" si="6"/>
        <v>570.02400000000011</v>
      </c>
      <c r="X61" s="1273"/>
      <c r="Y61" s="1273">
        <f t="shared" si="7"/>
        <v>228.00959999999486</v>
      </c>
      <c r="Z61" s="1273">
        <f t="shared" si="8"/>
        <v>128.25540000000004</v>
      </c>
      <c r="AA61" s="1273">
        <f t="shared" si="9"/>
        <v>5.7002400000000009</v>
      </c>
      <c r="AB61" s="690">
        <f t="shared" si="14"/>
        <v>931.98923999999499</v>
      </c>
    </row>
    <row r="62" spans="1:28">
      <c r="A62" s="1271">
        <v>30</v>
      </c>
      <c r="B62" s="698" t="s">
        <v>399</v>
      </c>
      <c r="C62" s="662">
        <v>4.0599999999999996</v>
      </c>
      <c r="D62" s="663">
        <f t="shared" si="1"/>
        <v>9500.4</v>
      </c>
      <c r="E62" s="664"/>
      <c r="F62" s="672">
        <f>D62*9%</f>
        <v>855.03599999999994</v>
      </c>
      <c r="G62" s="673"/>
      <c r="H62" s="664">
        <f t="shared" si="15"/>
        <v>4142.1743999999999</v>
      </c>
      <c r="I62" s="662">
        <v>4.0599999999999996</v>
      </c>
      <c r="J62" s="663">
        <f t="shared" si="2"/>
        <v>9500.4</v>
      </c>
      <c r="K62" s="664"/>
      <c r="L62" s="1277">
        <f>J62*10%</f>
        <v>950.04</v>
      </c>
      <c r="M62" s="1277"/>
      <c r="N62" s="1277">
        <f t="shared" si="16"/>
        <v>4180.1759999999995</v>
      </c>
      <c r="O62" s="1284">
        <f t="shared" si="13"/>
        <v>0</v>
      </c>
      <c r="P62" s="696">
        <f t="shared" si="13"/>
        <v>0</v>
      </c>
      <c r="Q62" s="1284">
        <f t="shared" si="13"/>
        <v>95.004000000000019</v>
      </c>
      <c r="R62" s="1284">
        <f t="shared" si="13"/>
        <v>0</v>
      </c>
      <c r="S62" s="1284">
        <f t="shared" si="13"/>
        <v>38.001599999999598</v>
      </c>
      <c r="T62" s="699">
        <v>6</v>
      </c>
      <c r="U62" s="1273">
        <f t="shared" si="4"/>
        <v>0</v>
      </c>
      <c r="V62" s="1273">
        <f t="shared" si="5"/>
        <v>0</v>
      </c>
      <c r="W62" s="1273">
        <f t="shared" si="6"/>
        <v>570.02400000000011</v>
      </c>
      <c r="X62" s="1273"/>
      <c r="Y62" s="1273">
        <f t="shared" si="7"/>
        <v>228.00959999999759</v>
      </c>
      <c r="Z62" s="1273">
        <f t="shared" si="8"/>
        <v>128.25540000000004</v>
      </c>
      <c r="AA62" s="1273">
        <f t="shared" si="9"/>
        <v>5.7002400000000009</v>
      </c>
      <c r="AB62" s="690">
        <f t="shared" si="14"/>
        <v>931.98923999999772</v>
      </c>
    </row>
    <row r="63" spans="1:28">
      <c r="A63" s="1271">
        <v>31</v>
      </c>
      <c r="B63" s="698" t="s">
        <v>400</v>
      </c>
      <c r="C63" s="662" t="s">
        <v>382</v>
      </c>
      <c r="D63" s="663">
        <f t="shared" si="1"/>
        <v>10881</v>
      </c>
      <c r="E63" s="664"/>
      <c r="F63" s="672"/>
      <c r="G63" s="673"/>
      <c r="H63" s="664">
        <f t="shared" si="15"/>
        <v>4352.4000000000005</v>
      </c>
      <c r="I63" s="662" t="s">
        <v>401</v>
      </c>
      <c r="J63" s="663">
        <f t="shared" si="2"/>
        <v>11653.2</v>
      </c>
      <c r="K63" s="664"/>
      <c r="L63" s="1277"/>
      <c r="M63" s="1277"/>
      <c r="N63" s="1277">
        <f t="shared" si="16"/>
        <v>4661.2800000000007</v>
      </c>
      <c r="O63" s="1284">
        <f t="shared" si="13"/>
        <v>772.20000000000073</v>
      </c>
      <c r="P63" s="696">
        <f t="shared" si="13"/>
        <v>0</v>
      </c>
      <c r="Q63" s="1284">
        <f t="shared" si="13"/>
        <v>0</v>
      </c>
      <c r="R63" s="1284">
        <f t="shared" si="13"/>
        <v>0</v>
      </c>
      <c r="S63" s="1284">
        <f t="shared" si="13"/>
        <v>308.88000000000011</v>
      </c>
      <c r="T63" s="699">
        <v>6</v>
      </c>
      <c r="U63" s="1273">
        <f t="shared" si="4"/>
        <v>4633.2000000000044</v>
      </c>
      <c r="V63" s="1273">
        <f t="shared" si="5"/>
        <v>0</v>
      </c>
      <c r="W63" s="1273">
        <f t="shared" si="6"/>
        <v>0</v>
      </c>
      <c r="X63" s="1273"/>
      <c r="Y63" s="1273">
        <f t="shared" si="7"/>
        <v>1853.2800000000007</v>
      </c>
      <c r="Z63" s="1273">
        <f t="shared" si="8"/>
        <v>1042.4700000000009</v>
      </c>
      <c r="AA63" s="1273">
        <f t="shared" si="9"/>
        <v>46.332000000000043</v>
      </c>
      <c r="AB63" s="690">
        <f t="shared" si="14"/>
        <v>7575.2820000000065</v>
      </c>
    </row>
    <row r="64" spans="1:28">
      <c r="A64" s="1271">
        <v>32</v>
      </c>
      <c r="B64" s="698" t="s">
        <v>402</v>
      </c>
      <c r="C64" s="662" t="s">
        <v>382</v>
      </c>
      <c r="D64" s="663">
        <f t="shared" si="1"/>
        <v>10881</v>
      </c>
      <c r="E64" s="664"/>
      <c r="F64" s="672"/>
      <c r="G64" s="673"/>
      <c r="H64" s="664">
        <f t="shared" si="15"/>
        <v>4352.4000000000005</v>
      </c>
      <c r="I64" s="662" t="s">
        <v>401</v>
      </c>
      <c r="J64" s="663">
        <f t="shared" si="2"/>
        <v>11653.2</v>
      </c>
      <c r="K64" s="664"/>
      <c r="L64" s="1277"/>
      <c r="M64" s="1277"/>
      <c r="N64" s="1277">
        <f t="shared" si="16"/>
        <v>4661.2800000000007</v>
      </c>
      <c r="O64" s="1284">
        <f t="shared" si="13"/>
        <v>772.20000000000073</v>
      </c>
      <c r="P64" s="696">
        <f t="shared" si="13"/>
        <v>0</v>
      </c>
      <c r="Q64" s="1284">
        <f t="shared" si="13"/>
        <v>0</v>
      </c>
      <c r="R64" s="1284">
        <f t="shared" si="13"/>
        <v>0</v>
      </c>
      <c r="S64" s="1284">
        <f t="shared" si="13"/>
        <v>308.88000000000011</v>
      </c>
      <c r="T64" s="699">
        <v>9</v>
      </c>
      <c r="U64" s="1273">
        <f t="shared" si="4"/>
        <v>6949.8000000000065</v>
      </c>
      <c r="V64" s="1273">
        <f t="shared" si="5"/>
        <v>0</v>
      </c>
      <c r="W64" s="1273">
        <f t="shared" si="6"/>
        <v>0</v>
      </c>
      <c r="X64" s="1273"/>
      <c r="Y64" s="1273">
        <f t="shared" si="7"/>
        <v>2779.920000000001</v>
      </c>
      <c r="Z64" s="1273">
        <f t="shared" si="8"/>
        <v>1563.7050000000015</v>
      </c>
      <c r="AA64" s="1273">
        <f t="shared" si="9"/>
        <v>69.498000000000062</v>
      </c>
      <c r="AB64" s="690">
        <f t="shared" si="14"/>
        <v>11362.92300000001</v>
      </c>
    </row>
    <row r="65" spans="1:28">
      <c r="A65" s="1271">
        <v>33</v>
      </c>
      <c r="B65" s="698" t="s">
        <v>403</v>
      </c>
      <c r="C65" s="662"/>
      <c r="D65" s="663">
        <f>4.06*2340</f>
        <v>9500.4</v>
      </c>
      <c r="E65" s="664"/>
      <c r="F65" s="672">
        <f>D65*7%</f>
        <v>665.02800000000002</v>
      </c>
      <c r="G65" s="673"/>
      <c r="H65" s="664">
        <f t="shared" si="15"/>
        <v>4066.1712000000002</v>
      </c>
      <c r="I65" s="662"/>
      <c r="J65" s="663">
        <f>4.06*2340</f>
        <v>9500.4</v>
      </c>
      <c r="K65" s="664"/>
      <c r="L65" s="1277">
        <f>J65*8%</f>
        <v>760.03200000000004</v>
      </c>
      <c r="M65" s="1277"/>
      <c r="N65" s="1277">
        <f t="shared" si="16"/>
        <v>4104.1727999999994</v>
      </c>
      <c r="O65" s="1284">
        <f t="shared" si="13"/>
        <v>0</v>
      </c>
      <c r="P65" s="696">
        <f t="shared" si="13"/>
        <v>0</v>
      </c>
      <c r="Q65" s="1284">
        <f t="shared" si="13"/>
        <v>95.004000000000019</v>
      </c>
      <c r="R65" s="1284">
        <f t="shared" si="13"/>
        <v>0</v>
      </c>
      <c r="S65" s="1284">
        <f t="shared" si="13"/>
        <v>38.001599999999144</v>
      </c>
      <c r="T65" s="699">
        <v>3</v>
      </c>
      <c r="U65" s="1273">
        <f t="shared" si="4"/>
        <v>0</v>
      </c>
      <c r="V65" s="1273">
        <f t="shared" si="5"/>
        <v>0</v>
      </c>
      <c r="W65" s="1273">
        <f t="shared" si="6"/>
        <v>285.01200000000006</v>
      </c>
      <c r="X65" s="1273"/>
      <c r="Y65" s="1273">
        <f t="shared" si="7"/>
        <v>114.00479999999743</v>
      </c>
      <c r="Z65" s="1273">
        <f t="shared" si="8"/>
        <v>64.127700000000019</v>
      </c>
      <c r="AA65" s="1273">
        <f t="shared" si="9"/>
        <v>2.8501200000000004</v>
      </c>
      <c r="AB65" s="690">
        <f t="shared" si="14"/>
        <v>465.9946199999975</v>
      </c>
    </row>
    <row r="66" spans="1:28">
      <c r="A66" s="1271">
        <v>34</v>
      </c>
      <c r="B66" s="698" t="s">
        <v>404</v>
      </c>
      <c r="C66" s="662">
        <v>4.0599999999999996</v>
      </c>
      <c r="D66" s="663">
        <f t="shared" si="1"/>
        <v>9500.4</v>
      </c>
      <c r="E66" s="664"/>
      <c r="F66" s="672">
        <f>D66*10%</f>
        <v>950.04</v>
      </c>
      <c r="G66" s="673"/>
      <c r="H66" s="664">
        <f t="shared" si="15"/>
        <v>4180.1759999999995</v>
      </c>
      <c r="I66" s="662">
        <v>4.0599999999999996</v>
      </c>
      <c r="J66" s="663">
        <f t="shared" si="2"/>
        <v>9500.4</v>
      </c>
      <c r="K66" s="664"/>
      <c r="L66" s="1277">
        <f>J66*11%</f>
        <v>1045.0439999999999</v>
      </c>
      <c r="M66" s="1277"/>
      <c r="N66" s="1277">
        <f t="shared" si="16"/>
        <v>4218.1776</v>
      </c>
      <c r="O66" s="1284">
        <f t="shared" si="13"/>
        <v>0</v>
      </c>
      <c r="P66" s="696">
        <f t="shared" si="13"/>
        <v>0</v>
      </c>
      <c r="Q66" s="1284">
        <f t="shared" si="13"/>
        <v>95.003999999999905</v>
      </c>
      <c r="R66" s="1284">
        <f t="shared" si="13"/>
        <v>0</v>
      </c>
      <c r="S66" s="1284">
        <f t="shared" si="13"/>
        <v>38.001600000000508</v>
      </c>
      <c r="T66" s="699">
        <v>12</v>
      </c>
      <c r="U66" s="1273">
        <f t="shared" si="4"/>
        <v>0</v>
      </c>
      <c r="V66" s="1273">
        <f t="shared" si="5"/>
        <v>0</v>
      </c>
      <c r="W66" s="1273">
        <f t="shared" si="6"/>
        <v>1140.0479999999989</v>
      </c>
      <c r="X66" s="1273"/>
      <c r="Y66" s="1273">
        <f t="shared" si="7"/>
        <v>456.01920000000609</v>
      </c>
      <c r="Z66" s="1273">
        <f t="shared" si="8"/>
        <v>256.51079999999973</v>
      </c>
      <c r="AA66" s="1273">
        <f t="shared" si="9"/>
        <v>11.400479999999989</v>
      </c>
      <c r="AB66" s="690">
        <f t="shared" si="14"/>
        <v>1863.9784800000048</v>
      </c>
    </row>
    <row r="67" spans="1:28">
      <c r="A67" s="1271">
        <v>35</v>
      </c>
      <c r="B67" s="698" t="s">
        <v>405</v>
      </c>
      <c r="C67" s="662">
        <v>3.34</v>
      </c>
      <c r="D67" s="663">
        <f t="shared" si="1"/>
        <v>7815.5999999999995</v>
      </c>
      <c r="E67" s="664"/>
      <c r="F67" s="672"/>
      <c r="G67" s="673"/>
      <c r="H67" s="664">
        <f t="shared" si="15"/>
        <v>3126.24</v>
      </c>
      <c r="I67" s="662">
        <v>3.65</v>
      </c>
      <c r="J67" s="663">
        <f t="shared" si="2"/>
        <v>8541</v>
      </c>
      <c r="K67" s="664"/>
      <c r="L67" s="1277"/>
      <c r="M67" s="1277"/>
      <c r="N67" s="1277">
        <f t="shared" si="16"/>
        <v>3416.4</v>
      </c>
      <c r="O67" s="1284">
        <f t="shared" si="13"/>
        <v>725.40000000000055</v>
      </c>
      <c r="P67" s="696">
        <f t="shared" si="13"/>
        <v>0</v>
      </c>
      <c r="Q67" s="1284">
        <f t="shared" si="13"/>
        <v>0</v>
      </c>
      <c r="R67" s="1284">
        <f t="shared" si="13"/>
        <v>0</v>
      </c>
      <c r="S67" s="1284">
        <f t="shared" si="13"/>
        <v>290.16000000000031</v>
      </c>
      <c r="T67" s="699">
        <v>9</v>
      </c>
      <c r="U67" s="1273">
        <f t="shared" si="4"/>
        <v>6528.6000000000049</v>
      </c>
      <c r="V67" s="1273">
        <f t="shared" si="5"/>
        <v>0</v>
      </c>
      <c r="W67" s="1273">
        <f t="shared" si="6"/>
        <v>0</v>
      </c>
      <c r="X67" s="1273"/>
      <c r="Y67" s="1273">
        <f t="shared" si="7"/>
        <v>2611.4400000000028</v>
      </c>
      <c r="Z67" s="1273">
        <f t="shared" si="8"/>
        <v>1468.9350000000011</v>
      </c>
      <c r="AA67" s="1273">
        <f t="shared" si="9"/>
        <v>65.286000000000044</v>
      </c>
      <c r="AB67" s="690">
        <f t="shared" si="14"/>
        <v>10674.26100000001</v>
      </c>
    </row>
    <row r="68" spans="1:28">
      <c r="A68" s="1271">
        <v>36</v>
      </c>
      <c r="B68" s="698" t="s">
        <v>406</v>
      </c>
      <c r="C68" s="662">
        <v>3.46</v>
      </c>
      <c r="D68" s="663">
        <f t="shared" si="1"/>
        <v>8096.4</v>
      </c>
      <c r="E68" s="664"/>
      <c r="F68" s="672"/>
      <c r="G68" s="673"/>
      <c r="H68" s="664">
        <f t="shared" si="15"/>
        <v>3238.56</v>
      </c>
      <c r="I68" s="662">
        <v>3.66</v>
      </c>
      <c r="J68" s="663">
        <f t="shared" si="2"/>
        <v>8564.4</v>
      </c>
      <c r="K68" s="664"/>
      <c r="L68" s="1277"/>
      <c r="M68" s="1277"/>
      <c r="N68" s="1277">
        <f t="shared" si="16"/>
        <v>3425.76</v>
      </c>
      <c r="O68" s="1284">
        <f t="shared" si="13"/>
        <v>468</v>
      </c>
      <c r="P68" s="696">
        <f t="shared" si="13"/>
        <v>0</v>
      </c>
      <c r="Q68" s="1284">
        <f t="shared" si="13"/>
        <v>0</v>
      </c>
      <c r="R68" s="1284">
        <f t="shared" si="13"/>
        <v>0</v>
      </c>
      <c r="S68" s="1284">
        <f t="shared" si="13"/>
        <v>187.20000000000027</v>
      </c>
      <c r="T68" s="699">
        <v>9</v>
      </c>
      <c r="U68" s="1273">
        <f t="shared" si="4"/>
        <v>4212</v>
      </c>
      <c r="V68" s="1273">
        <f t="shared" si="5"/>
        <v>0</v>
      </c>
      <c r="W68" s="1273">
        <f t="shared" si="6"/>
        <v>0</v>
      </c>
      <c r="X68" s="1273"/>
      <c r="Y68" s="1273">
        <f t="shared" si="7"/>
        <v>1684.8000000000025</v>
      </c>
      <c r="Z68" s="1273">
        <f t="shared" si="8"/>
        <v>947.7</v>
      </c>
      <c r="AA68" s="1273">
        <f t="shared" si="9"/>
        <v>42.12</v>
      </c>
      <c r="AB68" s="690">
        <f t="shared" si="14"/>
        <v>6886.6200000000026</v>
      </c>
    </row>
    <row r="69" spans="1:28">
      <c r="A69" s="1271">
        <v>37</v>
      </c>
      <c r="B69" s="698" t="s">
        <v>407</v>
      </c>
      <c r="C69" s="662">
        <v>3.66</v>
      </c>
      <c r="D69" s="663">
        <f t="shared" si="1"/>
        <v>8564.4</v>
      </c>
      <c r="E69" s="664"/>
      <c r="F69" s="672"/>
      <c r="G69" s="673"/>
      <c r="H69" s="664">
        <f t="shared" si="15"/>
        <v>3425.76</v>
      </c>
      <c r="I69" s="662">
        <v>3.86</v>
      </c>
      <c r="J69" s="663">
        <f t="shared" si="2"/>
        <v>9032.4</v>
      </c>
      <c r="K69" s="664"/>
      <c r="L69" s="1277"/>
      <c r="M69" s="1277"/>
      <c r="N69" s="1277">
        <f t="shared" si="16"/>
        <v>3612.96</v>
      </c>
      <c r="O69" s="1284">
        <f t="shared" si="13"/>
        <v>468</v>
      </c>
      <c r="P69" s="696">
        <f t="shared" si="13"/>
        <v>0</v>
      </c>
      <c r="Q69" s="1284">
        <f t="shared" si="13"/>
        <v>0</v>
      </c>
      <c r="R69" s="1284">
        <f t="shared" si="13"/>
        <v>0</v>
      </c>
      <c r="S69" s="1284">
        <f t="shared" si="13"/>
        <v>187.19999999999982</v>
      </c>
      <c r="T69" s="699">
        <v>11</v>
      </c>
      <c r="U69" s="1273">
        <f t="shared" si="4"/>
        <v>5148</v>
      </c>
      <c r="V69" s="1273">
        <f t="shared" si="5"/>
        <v>0</v>
      </c>
      <c r="W69" s="1273">
        <f t="shared" si="6"/>
        <v>0</v>
      </c>
      <c r="X69" s="1273"/>
      <c r="Y69" s="1273">
        <f t="shared" si="7"/>
        <v>2059.199999999998</v>
      </c>
      <c r="Z69" s="1273">
        <f t="shared" si="8"/>
        <v>1158.3</v>
      </c>
      <c r="AA69" s="1273">
        <f t="shared" si="9"/>
        <v>51.480000000000004</v>
      </c>
      <c r="AB69" s="690">
        <f t="shared" si="14"/>
        <v>8416.9799999999977</v>
      </c>
    </row>
    <row r="70" spans="1:28">
      <c r="A70" s="1271">
        <v>38</v>
      </c>
      <c r="B70" s="698" t="s">
        <v>378</v>
      </c>
      <c r="C70" s="662">
        <v>4.0599999999999996</v>
      </c>
      <c r="D70" s="663">
        <f t="shared" si="1"/>
        <v>9500.4</v>
      </c>
      <c r="E70" s="664"/>
      <c r="F70" s="672">
        <f>D70*9%</f>
        <v>855.03599999999994</v>
      </c>
      <c r="G70" s="673"/>
      <c r="H70" s="664">
        <f t="shared" si="15"/>
        <v>4142.1743999999999</v>
      </c>
      <c r="I70" s="662">
        <v>4.0599999999999996</v>
      </c>
      <c r="J70" s="663">
        <f t="shared" si="2"/>
        <v>9500.4</v>
      </c>
      <c r="K70" s="664"/>
      <c r="L70" s="1277">
        <f>J70*10%</f>
        <v>950.04</v>
      </c>
      <c r="M70" s="1277"/>
      <c r="N70" s="1277">
        <f t="shared" si="16"/>
        <v>4180.1759999999995</v>
      </c>
      <c r="O70" s="1284">
        <f t="shared" si="13"/>
        <v>0</v>
      </c>
      <c r="P70" s="696">
        <f t="shared" si="13"/>
        <v>0</v>
      </c>
      <c r="Q70" s="1284">
        <f t="shared" si="13"/>
        <v>95.004000000000019</v>
      </c>
      <c r="R70" s="1284">
        <f t="shared" si="13"/>
        <v>0</v>
      </c>
      <c r="S70" s="1284">
        <f t="shared" si="13"/>
        <v>38.001599999999598</v>
      </c>
      <c r="T70" s="699">
        <v>12</v>
      </c>
      <c r="U70" s="1273">
        <f t="shared" si="4"/>
        <v>0</v>
      </c>
      <c r="V70" s="1273">
        <f t="shared" si="5"/>
        <v>0</v>
      </c>
      <c r="W70" s="1273">
        <f t="shared" si="6"/>
        <v>1140.0480000000002</v>
      </c>
      <c r="X70" s="1273"/>
      <c r="Y70" s="1273">
        <f t="shared" si="7"/>
        <v>456.01919999999518</v>
      </c>
      <c r="Z70" s="1273">
        <f t="shared" si="8"/>
        <v>256.51080000000007</v>
      </c>
      <c r="AA70" s="1273">
        <f t="shared" si="9"/>
        <v>11.400480000000002</v>
      </c>
      <c r="AB70" s="690">
        <f t="shared" si="14"/>
        <v>1863.9784799999954</v>
      </c>
    </row>
    <row r="71" spans="1:28">
      <c r="A71" s="1271">
        <v>39</v>
      </c>
      <c r="B71" s="698" t="s">
        <v>408</v>
      </c>
      <c r="C71" s="662">
        <v>4.58</v>
      </c>
      <c r="D71" s="663">
        <f t="shared" si="1"/>
        <v>10717.2</v>
      </c>
      <c r="E71" s="664"/>
      <c r="F71" s="672"/>
      <c r="G71" s="673"/>
      <c r="H71" s="664">
        <f t="shared" si="15"/>
        <v>4286.88</v>
      </c>
      <c r="I71" s="662">
        <v>4.8899999999999997</v>
      </c>
      <c r="J71" s="663">
        <f t="shared" si="2"/>
        <v>11442.599999999999</v>
      </c>
      <c r="K71" s="664"/>
      <c r="L71" s="1277"/>
      <c r="M71" s="1277"/>
      <c r="N71" s="1277">
        <f t="shared" si="16"/>
        <v>4577.04</v>
      </c>
      <c r="O71" s="1284">
        <f t="shared" si="13"/>
        <v>725.39999999999782</v>
      </c>
      <c r="P71" s="696">
        <f t="shared" si="13"/>
        <v>0</v>
      </c>
      <c r="Q71" s="1284">
        <f t="shared" si="13"/>
        <v>0</v>
      </c>
      <c r="R71" s="1284">
        <f t="shared" si="13"/>
        <v>0</v>
      </c>
      <c r="S71" s="1284">
        <f t="shared" si="13"/>
        <v>290.15999999999985</v>
      </c>
      <c r="T71" s="699">
        <v>6</v>
      </c>
      <c r="U71" s="1273">
        <f t="shared" si="4"/>
        <v>4352.3999999999869</v>
      </c>
      <c r="V71" s="1273">
        <f t="shared" si="5"/>
        <v>0</v>
      </c>
      <c r="W71" s="1273">
        <f t="shared" si="6"/>
        <v>0</v>
      </c>
      <c r="X71" s="1273"/>
      <c r="Y71" s="1273">
        <f t="shared" si="7"/>
        <v>1740.9599999999991</v>
      </c>
      <c r="Z71" s="1273">
        <f t="shared" si="8"/>
        <v>979.28999999999712</v>
      </c>
      <c r="AA71" s="1273">
        <f t="shared" si="9"/>
        <v>43.523999999999873</v>
      </c>
      <c r="AB71" s="690">
        <f t="shared" si="14"/>
        <v>7116.1739999999827</v>
      </c>
    </row>
    <row r="72" spans="1:28">
      <c r="A72" s="1271">
        <v>40</v>
      </c>
      <c r="B72" s="698" t="s">
        <v>409</v>
      </c>
      <c r="C72" s="662">
        <v>3.34</v>
      </c>
      <c r="D72" s="663">
        <f t="shared" si="1"/>
        <v>7815.5999999999995</v>
      </c>
      <c r="E72" s="664"/>
      <c r="F72" s="672"/>
      <c r="G72" s="673"/>
      <c r="H72" s="664">
        <f t="shared" si="15"/>
        <v>3126.24</v>
      </c>
      <c r="I72" s="662">
        <v>3.65</v>
      </c>
      <c r="J72" s="663">
        <f t="shared" si="2"/>
        <v>8541</v>
      </c>
      <c r="K72" s="664"/>
      <c r="L72" s="1277"/>
      <c r="M72" s="1277"/>
      <c r="N72" s="1277">
        <f t="shared" si="16"/>
        <v>3416.4</v>
      </c>
      <c r="O72" s="1284">
        <f t="shared" si="13"/>
        <v>725.40000000000055</v>
      </c>
      <c r="P72" s="696">
        <f t="shared" si="13"/>
        <v>0</v>
      </c>
      <c r="Q72" s="1284">
        <f t="shared" si="13"/>
        <v>0</v>
      </c>
      <c r="R72" s="1284">
        <f t="shared" si="13"/>
        <v>0</v>
      </c>
      <c r="S72" s="1284">
        <f t="shared" si="13"/>
        <v>290.16000000000031</v>
      </c>
      <c r="T72" s="699">
        <v>6</v>
      </c>
      <c r="U72" s="1273">
        <f t="shared" si="4"/>
        <v>4352.4000000000033</v>
      </c>
      <c r="V72" s="1273">
        <f t="shared" si="5"/>
        <v>0</v>
      </c>
      <c r="W72" s="1273">
        <f t="shared" si="6"/>
        <v>0</v>
      </c>
      <c r="X72" s="1273"/>
      <c r="Y72" s="1273">
        <f t="shared" si="7"/>
        <v>1740.9600000000019</v>
      </c>
      <c r="Z72" s="1273">
        <f t="shared" si="8"/>
        <v>979.29000000000076</v>
      </c>
      <c r="AA72" s="1273">
        <f t="shared" si="9"/>
        <v>43.524000000000036</v>
      </c>
      <c r="AB72" s="690">
        <f t="shared" si="14"/>
        <v>7116.1740000000063</v>
      </c>
    </row>
    <row r="73" spans="1:28">
      <c r="A73" s="1271">
        <v>41</v>
      </c>
      <c r="B73" s="698" t="s">
        <v>410</v>
      </c>
      <c r="C73" s="662">
        <v>4.0599999999999996</v>
      </c>
      <c r="D73" s="663">
        <f t="shared" si="1"/>
        <v>9500.4</v>
      </c>
      <c r="E73" s="664"/>
      <c r="F73" s="672">
        <f>D73*5%</f>
        <v>475.02</v>
      </c>
      <c r="G73" s="673"/>
      <c r="H73" s="664">
        <f t="shared" si="15"/>
        <v>3990.1680000000001</v>
      </c>
      <c r="I73" s="662">
        <v>4.0599999999999996</v>
      </c>
      <c r="J73" s="663">
        <f t="shared" si="2"/>
        <v>9500.4</v>
      </c>
      <c r="K73" s="664"/>
      <c r="L73" s="1277">
        <f>J73*6%</f>
        <v>570.024</v>
      </c>
      <c r="M73" s="1277"/>
      <c r="N73" s="1277">
        <f t="shared" si="16"/>
        <v>4028.1695999999997</v>
      </c>
      <c r="O73" s="1284">
        <f t="shared" si="13"/>
        <v>0</v>
      </c>
      <c r="P73" s="696">
        <f t="shared" si="13"/>
        <v>0</v>
      </c>
      <c r="Q73" s="1284">
        <f t="shared" si="13"/>
        <v>95.004000000000019</v>
      </c>
      <c r="R73" s="1284">
        <f t="shared" si="13"/>
        <v>0</v>
      </c>
      <c r="S73" s="1284">
        <f t="shared" si="13"/>
        <v>38.001599999999598</v>
      </c>
      <c r="T73" s="699">
        <v>4</v>
      </c>
      <c r="U73" s="1273">
        <f t="shared" si="4"/>
        <v>0</v>
      </c>
      <c r="V73" s="1273">
        <f t="shared" si="5"/>
        <v>0</v>
      </c>
      <c r="W73" s="1273">
        <f t="shared" si="6"/>
        <v>380.01600000000008</v>
      </c>
      <c r="X73" s="1273"/>
      <c r="Y73" s="1273">
        <f t="shared" si="7"/>
        <v>152.00639999999839</v>
      </c>
      <c r="Z73" s="1273">
        <f t="shared" si="8"/>
        <v>85.50360000000002</v>
      </c>
      <c r="AA73" s="1273">
        <f t="shared" si="9"/>
        <v>3.8001600000000009</v>
      </c>
      <c r="AB73" s="690">
        <f t="shared" si="14"/>
        <v>621.32615999999848</v>
      </c>
    </row>
    <row r="74" spans="1:28">
      <c r="A74" s="1271">
        <v>42</v>
      </c>
      <c r="B74" s="698" t="s">
        <v>411</v>
      </c>
      <c r="C74" s="662">
        <v>4.0599999999999996</v>
      </c>
      <c r="D74" s="663">
        <f t="shared" si="1"/>
        <v>9500.4</v>
      </c>
      <c r="E74" s="664"/>
      <c r="F74" s="672">
        <f>D74*5%</f>
        <v>475.02</v>
      </c>
      <c r="G74" s="673"/>
      <c r="H74" s="664">
        <f t="shared" si="15"/>
        <v>3990.1680000000001</v>
      </c>
      <c r="I74" s="662">
        <v>4.0599999999999996</v>
      </c>
      <c r="J74" s="663">
        <f t="shared" si="2"/>
        <v>9500.4</v>
      </c>
      <c r="K74" s="664"/>
      <c r="L74" s="1277">
        <f>J74*6%</f>
        <v>570.024</v>
      </c>
      <c r="M74" s="1277"/>
      <c r="N74" s="1277">
        <f t="shared" si="16"/>
        <v>4028.1695999999997</v>
      </c>
      <c r="O74" s="1284">
        <f t="shared" si="13"/>
        <v>0</v>
      </c>
      <c r="P74" s="696">
        <f t="shared" si="13"/>
        <v>0</v>
      </c>
      <c r="Q74" s="1284">
        <f t="shared" si="13"/>
        <v>95.004000000000019</v>
      </c>
      <c r="R74" s="1284">
        <f t="shared" si="13"/>
        <v>0</v>
      </c>
      <c r="S74" s="1284">
        <f t="shared" si="13"/>
        <v>38.001599999999598</v>
      </c>
      <c r="T74" s="699">
        <v>2</v>
      </c>
      <c r="U74" s="1273">
        <f t="shared" si="4"/>
        <v>0</v>
      </c>
      <c r="V74" s="1273">
        <f t="shared" si="5"/>
        <v>0</v>
      </c>
      <c r="W74" s="1273">
        <f t="shared" si="6"/>
        <v>190.00800000000004</v>
      </c>
      <c r="X74" s="1273"/>
      <c r="Y74" s="1273">
        <f t="shared" si="7"/>
        <v>76.003199999999197</v>
      </c>
      <c r="Z74" s="1273">
        <f t="shared" si="8"/>
        <v>42.75180000000001</v>
      </c>
      <c r="AA74" s="1273">
        <f t="shared" si="9"/>
        <v>1.9000800000000004</v>
      </c>
      <c r="AB74" s="690">
        <f t="shared" si="14"/>
        <v>310.66307999999924</v>
      </c>
    </row>
    <row r="75" spans="1:28">
      <c r="A75" s="1271">
        <v>43</v>
      </c>
      <c r="B75" s="707" t="s">
        <v>412</v>
      </c>
      <c r="C75" s="708">
        <v>4.0599999999999996</v>
      </c>
      <c r="D75" s="663"/>
      <c r="E75" s="709"/>
      <c r="F75" s="672">
        <f>4.06*5%*2340</f>
        <v>475.02</v>
      </c>
      <c r="G75" s="673"/>
      <c r="H75" s="664">
        <f>F75*40%</f>
        <v>190.00800000000001</v>
      </c>
      <c r="I75" s="662">
        <v>4.0599999999999996</v>
      </c>
      <c r="J75" s="663"/>
      <c r="K75" s="709"/>
      <c r="L75" s="1277">
        <f>I75*6%*2340</f>
        <v>570.02399999999989</v>
      </c>
      <c r="M75" s="1277"/>
      <c r="N75" s="1277">
        <f>L75*40%</f>
        <v>228.00959999999998</v>
      </c>
      <c r="O75" s="1284">
        <f>L75-F75</f>
        <v>95.003999999999905</v>
      </c>
      <c r="P75" s="696"/>
      <c r="Q75" s="1284">
        <f>L75-F75</f>
        <v>95.003999999999905</v>
      </c>
      <c r="R75" s="1284"/>
      <c r="S75" s="1284">
        <f t="shared" si="13"/>
        <v>38.001599999999968</v>
      </c>
      <c r="T75" s="699">
        <v>6</v>
      </c>
      <c r="U75" s="1273"/>
      <c r="V75" s="1273"/>
      <c r="W75" s="1273">
        <f t="shared" si="6"/>
        <v>570.02399999999943</v>
      </c>
      <c r="X75" s="1273"/>
      <c r="Y75" s="1273">
        <f t="shared" si="7"/>
        <v>228.00959999999981</v>
      </c>
      <c r="Z75" s="1273">
        <f t="shared" si="8"/>
        <v>128.25539999999987</v>
      </c>
      <c r="AA75" s="1273">
        <f t="shared" si="9"/>
        <v>5.7002399999999946</v>
      </c>
      <c r="AB75" s="690">
        <f t="shared" si="14"/>
        <v>931.9892399999992</v>
      </c>
    </row>
    <row r="76" spans="1:28">
      <c r="A76" s="1271">
        <v>44</v>
      </c>
      <c r="B76" s="707" t="s">
        <v>413</v>
      </c>
      <c r="C76" s="708">
        <v>3.06</v>
      </c>
      <c r="D76" s="663">
        <f>C76*2340</f>
        <v>7160.4000000000005</v>
      </c>
      <c r="E76" s="709"/>
      <c r="F76" s="672"/>
      <c r="G76" s="673"/>
      <c r="H76" s="664">
        <f>D76*40%</f>
        <v>2864.1600000000003</v>
      </c>
      <c r="I76" s="662">
        <v>3.26</v>
      </c>
      <c r="J76" s="663">
        <f>I76*2340</f>
        <v>7628.4</v>
      </c>
      <c r="K76" s="709"/>
      <c r="L76" s="1277"/>
      <c r="M76" s="1277"/>
      <c r="N76" s="1277">
        <f>J76*40%</f>
        <v>3051.36</v>
      </c>
      <c r="O76" s="1284">
        <f>J76-D76</f>
        <v>467.99999999999909</v>
      </c>
      <c r="P76" s="696"/>
      <c r="Q76" s="1284"/>
      <c r="R76" s="1284"/>
      <c r="S76" s="1284">
        <f>N76-H76</f>
        <v>187.19999999999982</v>
      </c>
      <c r="T76" s="699">
        <v>5</v>
      </c>
      <c r="U76" s="1273">
        <f>O76*5</f>
        <v>2339.9999999999955</v>
      </c>
      <c r="V76" s="1273"/>
      <c r="W76" s="1273"/>
      <c r="X76" s="1273"/>
      <c r="Y76" s="1273">
        <f t="shared" si="7"/>
        <v>935.99999999999909</v>
      </c>
      <c r="Z76" s="1273">
        <f t="shared" si="8"/>
        <v>526.49999999999898</v>
      </c>
      <c r="AA76" s="1273">
        <f t="shared" si="9"/>
        <v>23.399999999999956</v>
      </c>
      <c r="AB76" s="690">
        <f t="shared" si="14"/>
        <v>3825.8999999999937</v>
      </c>
    </row>
    <row r="77" spans="1:28" ht="15.75">
      <c r="A77" s="660"/>
      <c r="B77" s="710" t="s">
        <v>13</v>
      </c>
      <c r="C77" s="711"/>
      <c r="D77" s="663"/>
      <c r="E77" s="712"/>
      <c r="F77" s="672"/>
      <c r="G77" s="673"/>
      <c r="H77" s="664"/>
      <c r="I77" s="662"/>
      <c r="J77" s="663"/>
      <c r="K77" s="713"/>
      <c r="L77" s="1277"/>
      <c r="M77" s="1277"/>
      <c r="N77" s="1277"/>
      <c r="O77" s="1284"/>
      <c r="P77" s="696"/>
      <c r="Q77" s="1284"/>
      <c r="R77" s="1284"/>
      <c r="S77" s="1284"/>
      <c r="T77" s="697"/>
      <c r="U77" s="1273">
        <f>SUM(U33:U76)</f>
        <v>154330.01999999996</v>
      </c>
      <c r="V77" s="1273"/>
      <c r="W77" s="1273">
        <f>SUM(W33:W76)</f>
        <v>13832.208000000001</v>
      </c>
      <c r="X77" s="1273"/>
      <c r="Y77" s="1273">
        <f>SUM(Y33:Y76)</f>
        <v>67264.891199999998</v>
      </c>
      <c r="Z77" s="1273">
        <f>SUM(Z33:Z76)</f>
        <v>37836.501300000011</v>
      </c>
      <c r="AA77" s="1273">
        <f>SUM(AA33:AA76)</f>
        <v>1681.6222799999994</v>
      </c>
      <c r="AB77" s="690">
        <f>SUM(AB33:AB76)</f>
        <v>274945.24277999991</v>
      </c>
    </row>
    <row r="78" spans="1:28" ht="15.75">
      <c r="A78" s="691"/>
      <c r="B78" s="238"/>
      <c r="C78" s="238"/>
      <c r="D78" s="238"/>
      <c r="E78" s="693"/>
      <c r="F78" s="694"/>
      <c r="G78" s="692"/>
      <c r="H78" s="695"/>
      <c r="I78" s="688"/>
      <c r="J78" s="663"/>
      <c r="K78" s="695"/>
      <c r="L78" s="1283"/>
      <c r="M78" s="1283"/>
      <c r="N78" s="1277"/>
      <c r="O78" s="1284"/>
      <c r="P78" s="696"/>
      <c r="Q78" s="1284"/>
      <c r="R78" s="1284"/>
      <c r="S78" s="1284"/>
      <c r="T78" s="697"/>
      <c r="U78" s="1282"/>
      <c r="V78" s="1281"/>
      <c r="W78" s="1282"/>
      <c r="X78" s="1282"/>
      <c r="Y78" s="1282"/>
      <c r="Z78" s="1282"/>
      <c r="AA78" s="1282"/>
      <c r="AB78" s="690"/>
    </row>
    <row r="79" spans="1:28">
      <c r="A79" s="714" t="s">
        <v>414</v>
      </c>
      <c r="B79" s="715"/>
      <c r="C79" s="716"/>
      <c r="D79" s="663"/>
      <c r="E79" s="717"/>
      <c r="F79" s="718"/>
      <c r="G79" s="716"/>
      <c r="H79" s="719"/>
      <c r="I79" s="720"/>
      <c r="J79" s="663"/>
      <c r="K79" s="719"/>
      <c r="L79" s="1285"/>
      <c r="M79" s="1285"/>
      <c r="N79" s="1285"/>
      <c r="O79" s="1285"/>
      <c r="P79" s="720"/>
      <c r="Q79" s="1285"/>
      <c r="R79" s="1285"/>
      <c r="S79" s="1285"/>
      <c r="T79" s="720"/>
      <c r="U79" s="1273"/>
      <c r="V79" s="1273"/>
      <c r="W79" s="1273">
        <f>W30+Y30</f>
        <v>38323.490400000002</v>
      </c>
      <c r="X79" s="1273"/>
      <c r="Y79" s="1273"/>
      <c r="Z79" s="1285"/>
      <c r="AA79" s="1285"/>
      <c r="AB79" s="1289"/>
    </row>
    <row r="80" spans="1:28" ht="15.75">
      <c r="A80" s="660">
        <v>1</v>
      </c>
      <c r="B80" s="675" t="s">
        <v>415</v>
      </c>
      <c r="C80" s="662">
        <v>4.32</v>
      </c>
      <c r="D80" s="663">
        <f>C80*2340</f>
        <v>10108.800000000001</v>
      </c>
      <c r="E80" s="664"/>
      <c r="F80" s="672"/>
      <c r="G80" s="721"/>
      <c r="H80" s="664">
        <f>(D80+E80+F80)*30%</f>
        <v>3032.6400000000003</v>
      </c>
      <c r="I80" s="722">
        <v>4.6500000000000004</v>
      </c>
      <c r="J80" s="663">
        <f>I80*2340</f>
        <v>10881</v>
      </c>
      <c r="K80" s="664"/>
      <c r="L80" s="1277"/>
      <c r="M80" s="1277"/>
      <c r="N80" s="1277">
        <f>(J80+K80+L80)*30%</f>
        <v>3264.2999999999997</v>
      </c>
      <c r="O80" s="1284">
        <f t="shared" ref="O80:S82" si="17">J80-D80</f>
        <v>772.19999999999891</v>
      </c>
      <c r="P80" s="696">
        <f t="shared" si="17"/>
        <v>0</v>
      </c>
      <c r="Q80" s="1284">
        <f t="shared" si="17"/>
        <v>0</v>
      </c>
      <c r="R80" s="1284">
        <f t="shared" si="17"/>
        <v>0</v>
      </c>
      <c r="S80" s="1284">
        <f t="shared" si="17"/>
        <v>231.6599999999994</v>
      </c>
      <c r="T80" s="699">
        <v>9</v>
      </c>
      <c r="U80" s="1273">
        <f>O80*T80</f>
        <v>6949.7999999999902</v>
      </c>
      <c r="V80" s="1273">
        <f>P80*T80</f>
        <v>0</v>
      </c>
      <c r="W80" s="1273">
        <f>Q80*T80</f>
        <v>0</v>
      </c>
      <c r="X80" s="1273"/>
      <c r="Y80" s="1273">
        <f>S80*T80</f>
        <v>2084.9399999999946</v>
      </c>
      <c r="Z80" s="1273">
        <f>(U80+V80+W80+X80)*22.5%</f>
        <v>1563.7049999999979</v>
      </c>
      <c r="AA80" s="1273">
        <f>(U80+V80+W80+X80)*1%</f>
        <v>69.497999999999905</v>
      </c>
      <c r="AB80" s="690">
        <f>U80+V80+W80+X80+Y80+Z80+AA80</f>
        <v>10667.942999999983</v>
      </c>
    </row>
    <row r="81" spans="1:28" ht="15.75">
      <c r="A81" s="660">
        <v>2</v>
      </c>
      <c r="B81" s="675" t="s">
        <v>416</v>
      </c>
      <c r="C81" s="662">
        <v>3.33</v>
      </c>
      <c r="D81" s="663">
        <f>C81*2340</f>
        <v>7792.2</v>
      </c>
      <c r="E81" s="664"/>
      <c r="F81" s="672"/>
      <c r="G81" s="721"/>
      <c r="H81" s="664">
        <f t="shared" ref="H81:H82" si="18">(D81+E81+F81)*30%</f>
        <v>2337.66</v>
      </c>
      <c r="I81" s="722">
        <v>3.66</v>
      </c>
      <c r="J81" s="663">
        <f>I81*2340</f>
        <v>8564.4</v>
      </c>
      <c r="K81" s="664"/>
      <c r="L81" s="1277"/>
      <c r="M81" s="1277"/>
      <c r="N81" s="1277">
        <f t="shared" ref="N81:N82" si="19">(J81+K81+L81)*30%</f>
        <v>2569.3199999999997</v>
      </c>
      <c r="O81" s="1284">
        <f t="shared" si="17"/>
        <v>772.19999999999982</v>
      </c>
      <c r="P81" s="696">
        <f t="shared" si="17"/>
        <v>0</v>
      </c>
      <c r="Q81" s="1284">
        <f t="shared" si="17"/>
        <v>0</v>
      </c>
      <c r="R81" s="1284">
        <f t="shared" si="17"/>
        <v>0</v>
      </c>
      <c r="S81" s="1284">
        <f t="shared" si="17"/>
        <v>231.65999999999985</v>
      </c>
      <c r="T81" s="699">
        <v>9</v>
      </c>
      <c r="U81" s="1273">
        <f>O81*T81</f>
        <v>6949.7999999999984</v>
      </c>
      <c r="V81" s="1273">
        <f>P81*T81</f>
        <v>0</v>
      </c>
      <c r="W81" s="1273">
        <f>Q81*T81</f>
        <v>0</v>
      </c>
      <c r="X81" s="1273"/>
      <c r="Y81" s="1273">
        <f>S81*T81</f>
        <v>2084.9399999999987</v>
      </c>
      <c r="Z81" s="1273">
        <f>(U81+V81+W81+X81)*22.5%</f>
        <v>1563.7049999999997</v>
      </c>
      <c r="AA81" s="1273">
        <f>(U81+V81+W81+X81)*1%</f>
        <v>69.49799999999999</v>
      </c>
      <c r="AB81" s="690">
        <f>U81+V81+W81+X81+Y81+Z81+AA81</f>
        <v>10667.942999999997</v>
      </c>
    </row>
    <row r="82" spans="1:28" ht="15.75">
      <c r="A82" s="660">
        <v>3</v>
      </c>
      <c r="B82" s="675" t="s">
        <v>417</v>
      </c>
      <c r="C82" s="662">
        <v>4.0599999999999996</v>
      </c>
      <c r="D82" s="663">
        <f>C82*2340</f>
        <v>9500.4</v>
      </c>
      <c r="E82" s="664"/>
      <c r="F82" s="672"/>
      <c r="G82" s="721"/>
      <c r="H82" s="664">
        <f t="shared" si="18"/>
        <v>2850.12</v>
      </c>
      <c r="I82" s="722">
        <v>4.26</v>
      </c>
      <c r="J82" s="663">
        <f>I82*2340</f>
        <v>9968.4</v>
      </c>
      <c r="K82" s="664"/>
      <c r="L82" s="1277"/>
      <c r="M82" s="1277"/>
      <c r="N82" s="1277">
        <f t="shared" si="19"/>
        <v>2990.52</v>
      </c>
      <c r="O82" s="1284">
        <f t="shared" si="17"/>
        <v>468</v>
      </c>
      <c r="P82" s="696">
        <f t="shared" si="17"/>
        <v>0</v>
      </c>
      <c r="Q82" s="1284">
        <f t="shared" si="17"/>
        <v>0</v>
      </c>
      <c r="R82" s="1284">
        <f t="shared" si="17"/>
        <v>0</v>
      </c>
      <c r="S82" s="1284">
        <f t="shared" si="17"/>
        <v>140.40000000000009</v>
      </c>
      <c r="T82" s="699">
        <v>3</v>
      </c>
      <c r="U82" s="1273">
        <f>O82*T82</f>
        <v>1404</v>
      </c>
      <c r="V82" s="1273">
        <f>P82*T82</f>
        <v>0</v>
      </c>
      <c r="W82" s="1273">
        <f>Q82*T82</f>
        <v>0</v>
      </c>
      <c r="X82" s="1273"/>
      <c r="Y82" s="1273">
        <f>S82*T82</f>
        <v>421.20000000000027</v>
      </c>
      <c r="Z82" s="1273">
        <f>(U82+V82+W82+X82)*22.5%</f>
        <v>315.90000000000003</v>
      </c>
      <c r="AA82" s="1273">
        <f>(U82+V82+W82+X82)*1%</f>
        <v>14.040000000000001</v>
      </c>
      <c r="AB82" s="690">
        <f>U82+V82+W82+X82+Y82+Z82+AA82</f>
        <v>2155.1400000000003</v>
      </c>
    </row>
    <row r="83" spans="1:28" ht="15.75">
      <c r="A83" s="660"/>
      <c r="B83" s="723" t="s">
        <v>13</v>
      </c>
      <c r="C83" s="686"/>
      <c r="D83" s="663">
        <f>SUM(D80:D82)</f>
        <v>27401.4</v>
      </c>
      <c r="E83" s="713">
        <f>SUM(E80:E82)</f>
        <v>0</v>
      </c>
      <c r="F83" s="672"/>
      <c r="G83" s="721"/>
      <c r="H83" s="664">
        <f>SUM(H80:H82)</f>
        <v>8220.42</v>
      </c>
      <c r="I83" s="722"/>
      <c r="J83" s="663">
        <f>SUM(J80:J82)</f>
        <v>29413.800000000003</v>
      </c>
      <c r="K83" s="713"/>
      <c r="L83" s="1277"/>
      <c r="M83" s="1277"/>
      <c r="N83" s="1277">
        <f>SUM(N80:N82)</f>
        <v>8824.14</v>
      </c>
      <c r="O83" s="1284">
        <f>SUM(O80:O82)</f>
        <v>2012.3999999999987</v>
      </c>
      <c r="P83" s="696"/>
      <c r="Q83" s="1284"/>
      <c r="R83" s="1284"/>
      <c r="S83" s="1284">
        <f>SUM(S80:S82)</f>
        <v>603.71999999999935</v>
      </c>
      <c r="T83" s="697"/>
      <c r="U83" s="1273">
        <f>SUM(U80:U82)</f>
        <v>15303.599999999988</v>
      </c>
      <c r="V83" s="1273"/>
      <c r="W83" s="1273"/>
      <c r="X83" s="1273"/>
      <c r="Y83" s="1273">
        <f>SUM(Y80:Y82)</f>
        <v>4591.0799999999945</v>
      </c>
      <c r="Z83" s="1273">
        <f>SUM(Z80:Z82)</f>
        <v>3443.3099999999977</v>
      </c>
      <c r="AA83" s="1273">
        <f>SUM(AA80:AA82)</f>
        <v>153.03599999999989</v>
      </c>
      <c r="AB83" s="690">
        <f>SUM(AB80:AB82)</f>
        <v>23491.02599999998</v>
      </c>
    </row>
    <row r="84" spans="1:28">
      <c r="A84" s="691"/>
      <c r="B84" s="692"/>
      <c r="C84" s="692"/>
      <c r="D84" s="663"/>
      <c r="E84" s="693"/>
      <c r="F84" s="694"/>
      <c r="G84" s="692"/>
      <c r="H84" s="695"/>
      <c r="I84" s="688"/>
      <c r="J84" s="663"/>
      <c r="K84" s="695"/>
      <c r="L84" s="1283"/>
      <c r="M84" s="1283"/>
      <c r="N84" s="1277"/>
      <c r="O84" s="1284"/>
      <c r="P84" s="696"/>
      <c r="Q84" s="1284"/>
      <c r="R84" s="1284"/>
      <c r="S84" s="1284"/>
      <c r="T84" s="697"/>
      <c r="U84" s="1273"/>
      <c r="V84" s="1273"/>
      <c r="W84" s="1273"/>
      <c r="X84" s="1273"/>
      <c r="Y84" s="1273"/>
      <c r="Z84" s="1273"/>
      <c r="AA84" s="1273"/>
      <c r="AB84" s="690"/>
    </row>
    <row r="85" spans="1:28" ht="18.75">
      <c r="A85" s="691" t="s">
        <v>418</v>
      </c>
      <c r="B85" s="724" t="s">
        <v>419</v>
      </c>
      <c r="C85" s="724"/>
      <c r="D85" s="725"/>
      <c r="E85" s="726"/>
      <c r="F85" s="727"/>
      <c r="G85" s="724"/>
      <c r="H85" s="728"/>
      <c r="I85" s="688"/>
      <c r="J85" s="663"/>
      <c r="K85" s="695"/>
      <c r="L85" s="1283"/>
      <c r="M85" s="1283"/>
      <c r="N85" s="1277"/>
      <c r="O85" s="1284"/>
      <c r="P85" s="696"/>
      <c r="Q85" s="1284"/>
      <c r="R85" s="1284"/>
      <c r="S85" s="1284"/>
      <c r="T85" s="697"/>
      <c r="U85" s="1273"/>
      <c r="V85" s="1273"/>
      <c r="W85" s="1273"/>
      <c r="X85" s="1273"/>
      <c r="Y85" s="1273"/>
      <c r="Z85" s="1273"/>
      <c r="AA85" s="1273"/>
      <c r="AB85" s="690"/>
    </row>
    <row r="86" spans="1:28" ht="15.75">
      <c r="A86" s="660">
        <v>1</v>
      </c>
      <c r="B86" s="698" t="s">
        <v>420</v>
      </c>
      <c r="C86" s="662">
        <v>3.06</v>
      </c>
      <c r="D86" s="663">
        <f t="shared" ref="D86:D88" si="20">C86*2340</f>
        <v>7160.4000000000005</v>
      </c>
      <c r="E86" s="664"/>
      <c r="F86" s="672"/>
      <c r="G86" s="673"/>
      <c r="H86" s="664">
        <f>(D86+E86+F86)*30%</f>
        <v>2148.12</v>
      </c>
      <c r="I86" s="662">
        <v>3.26</v>
      </c>
      <c r="J86" s="663">
        <f t="shared" ref="J86:J89" si="21">I86*2340</f>
        <v>7628.4</v>
      </c>
      <c r="K86" s="664"/>
      <c r="L86" s="1277"/>
      <c r="M86" s="1277"/>
      <c r="N86" s="1277">
        <f>(J86+K86+L86)*30%</f>
        <v>2288.52</v>
      </c>
      <c r="O86" s="1284">
        <f t="shared" si="13"/>
        <v>467.99999999999909</v>
      </c>
      <c r="P86" s="696">
        <f t="shared" si="13"/>
        <v>0</v>
      </c>
      <c r="Q86" s="1284">
        <f t="shared" si="13"/>
        <v>0</v>
      </c>
      <c r="R86" s="1284">
        <f t="shared" si="13"/>
        <v>0</v>
      </c>
      <c r="S86" s="1284">
        <f t="shared" si="13"/>
        <v>140.40000000000009</v>
      </c>
      <c r="T86" s="703">
        <v>0.5</v>
      </c>
      <c r="U86" s="1273">
        <f t="shared" ref="U86:U89" si="22">O86*T86</f>
        <v>233.99999999999955</v>
      </c>
      <c r="V86" s="1273">
        <f t="shared" ref="V86:V89" si="23">P86*T86</f>
        <v>0</v>
      </c>
      <c r="W86" s="1273">
        <f t="shared" ref="W86:W89" si="24">Q86*T86</f>
        <v>0</v>
      </c>
      <c r="X86" s="1273"/>
      <c r="Y86" s="1273">
        <f t="shared" ref="Y86:Y89" si="25">S86*T86</f>
        <v>70.200000000000045</v>
      </c>
      <c r="Z86" s="1273">
        <f t="shared" si="8"/>
        <v>52.649999999999899</v>
      </c>
      <c r="AA86" s="1273">
        <f t="shared" si="9"/>
        <v>2.3399999999999954</v>
      </c>
      <c r="AB86" s="690">
        <f t="shared" si="14"/>
        <v>359.18999999999949</v>
      </c>
    </row>
    <row r="87" spans="1:28" ht="15.75">
      <c r="A87" s="660">
        <v>2</v>
      </c>
      <c r="B87" s="698" t="s">
        <v>421</v>
      </c>
      <c r="C87" s="662" t="s">
        <v>422</v>
      </c>
      <c r="D87" s="663">
        <f t="shared" si="20"/>
        <v>6692.4</v>
      </c>
      <c r="E87" s="664"/>
      <c r="F87" s="672"/>
      <c r="G87" s="673"/>
      <c r="H87" s="664">
        <f>(D87+E87+F87)*30%</f>
        <v>2007.7199999999998</v>
      </c>
      <c r="I87" s="662" t="s">
        <v>423</v>
      </c>
      <c r="J87" s="663">
        <f t="shared" si="21"/>
        <v>7160.4000000000005</v>
      </c>
      <c r="K87" s="664"/>
      <c r="L87" s="1277"/>
      <c r="M87" s="1277"/>
      <c r="N87" s="1277">
        <f>(J87+K87+L87)*30%</f>
        <v>2148.12</v>
      </c>
      <c r="O87" s="1284">
        <f>J87-D87</f>
        <v>468.00000000000091</v>
      </c>
      <c r="P87" s="696">
        <f>K87-E87</f>
        <v>0</v>
      </c>
      <c r="Q87" s="1284">
        <f>L87-F87</f>
        <v>0</v>
      </c>
      <c r="R87" s="1284">
        <f>M87-G87</f>
        <v>0</v>
      </c>
      <c r="S87" s="1284">
        <f>N87-H87</f>
        <v>140.40000000000009</v>
      </c>
      <c r="T87" s="699">
        <v>8</v>
      </c>
      <c r="U87" s="1273">
        <f t="shared" si="22"/>
        <v>3744.0000000000073</v>
      </c>
      <c r="V87" s="1273">
        <f t="shared" si="23"/>
        <v>0</v>
      </c>
      <c r="W87" s="1273">
        <f t="shared" si="24"/>
        <v>0</v>
      </c>
      <c r="X87" s="1273"/>
      <c r="Y87" s="1273">
        <f t="shared" si="25"/>
        <v>1123.2000000000007</v>
      </c>
      <c r="Z87" s="1273">
        <f>(U87+V87+W87+X87)*22.5%</f>
        <v>842.40000000000168</v>
      </c>
      <c r="AA87" s="1273">
        <f>(U87+V87+W87+X87)*1%</f>
        <v>37.440000000000076</v>
      </c>
      <c r="AB87" s="690">
        <f>U87+V87+W87+X87+Y87+Z87+AA87</f>
        <v>5747.04000000001</v>
      </c>
    </row>
    <row r="88" spans="1:28" ht="15.75">
      <c r="A88" s="660">
        <v>3</v>
      </c>
      <c r="B88" s="675" t="s">
        <v>424</v>
      </c>
      <c r="C88" s="662">
        <v>3.03</v>
      </c>
      <c r="D88" s="663">
        <f t="shared" si="20"/>
        <v>7090.2</v>
      </c>
      <c r="E88" s="664"/>
      <c r="F88" s="672"/>
      <c r="G88" s="673"/>
      <c r="H88" s="664">
        <f>(D88+E88+F88)*30%</f>
        <v>2127.06</v>
      </c>
      <c r="I88" s="662">
        <v>3.34</v>
      </c>
      <c r="J88" s="663">
        <f t="shared" si="21"/>
        <v>7815.5999999999995</v>
      </c>
      <c r="K88" s="664"/>
      <c r="L88" s="1277"/>
      <c r="M88" s="1277"/>
      <c r="N88" s="1277">
        <f>(J88+K88+L88)*30%</f>
        <v>2344.6799999999998</v>
      </c>
      <c r="O88" s="1284">
        <f>J88-D88</f>
        <v>725.39999999999964</v>
      </c>
      <c r="P88" s="696"/>
      <c r="Q88" s="1284"/>
      <c r="R88" s="1284"/>
      <c r="S88" s="1284">
        <f>N88-H88</f>
        <v>217.61999999999989</v>
      </c>
      <c r="T88" s="699">
        <v>12</v>
      </c>
      <c r="U88" s="1273">
        <f t="shared" si="22"/>
        <v>8704.7999999999956</v>
      </c>
      <c r="V88" s="1273">
        <f t="shared" si="23"/>
        <v>0</v>
      </c>
      <c r="W88" s="1273">
        <f t="shared" si="24"/>
        <v>0</v>
      </c>
      <c r="X88" s="1273"/>
      <c r="Y88" s="1273">
        <f t="shared" si="25"/>
        <v>2611.4399999999987</v>
      </c>
      <c r="Z88" s="1273">
        <f>(U88+V88+W88+X88)*22.5%</f>
        <v>1958.579999999999</v>
      </c>
      <c r="AA88" s="1273">
        <f>(U88+V88+W88+X88)*1%</f>
        <v>87.047999999999959</v>
      </c>
      <c r="AB88" s="690">
        <f>U88+V88+W88+X88+Y88+Z88+AA88</f>
        <v>13361.867999999993</v>
      </c>
    </row>
    <row r="89" spans="1:28" ht="15.75">
      <c r="A89" s="660">
        <v>4</v>
      </c>
      <c r="B89" s="701" t="s">
        <v>425</v>
      </c>
      <c r="C89" s="662">
        <v>2.86</v>
      </c>
      <c r="D89" s="663">
        <f>C89*2340</f>
        <v>6692.4</v>
      </c>
      <c r="E89" s="664"/>
      <c r="F89" s="672"/>
      <c r="G89" s="673"/>
      <c r="H89" s="664">
        <f>(D89+E89+F89)*30%</f>
        <v>2007.7199999999998</v>
      </c>
      <c r="I89" s="662">
        <v>3.06</v>
      </c>
      <c r="J89" s="663">
        <f t="shared" si="21"/>
        <v>7160.4000000000005</v>
      </c>
      <c r="K89" s="664"/>
      <c r="L89" s="1277"/>
      <c r="M89" s="1277"/>
      <c r="N89" s="1277">
        <f>(J89+K89+L89)*30%</f>
        <v>2148.12</v>
      </c>
      <c r="O89" s="1284">
        <f>J89-D89</f>
        <v>468.00000000000091</v>
      </c>
      <c r="P89" s="696">
        <f>K89-E89</f>
        <v>0</v>
      </c>
      <c r="Q89" s="1284">
        <f>L89-F89</f>
        <v>0</v>
      </c>
      <c r="R89" s="1284">
        <f>M89-G89</f>
        <v>0</v>
      </c>
      <c r="S89" s="1284">
        <f>N89-H89</f>
        <v>140.40000000000009</v>
      </c>
      <c r="T89" s="699">
        <v>5</v>
      </c>
      <c r="U89" s="1273">
        <f t="shared" si="22"/>
        <v>2340.0000000000045</v>
      </c>
      <c r="V89" s="1273">
        <f t="shared" si="23"/>
        <v>0</v>
      </c>
      <c r="W89" s="1273">
        <f t="shared" si="24"/>
        <v>0</v>
      </c>
      <c r="X89" s="1273"/>
      <c r="Y89" s="1273">
        <f t="shared" si="25"/>
        <v>702.00000000000045</v>
      </c>
      <c r="Z89" s="1273">
        <f>(U89+V89+W89+X89)*22.5%</f>
        <v>526.50000000000102</v>
      </c>
      <c r="AA89" s="1273">
        <f>(U89+V89+W89+X89)*1%</f>
        <v>23.400000000000045</v>
      </c>
      <c r="AB89" s="690">
        <f>U89+V89+W89+X89+Y89+Z89+AA89</f>
        <v>3591.900000000006</v>
      </c>
    </row>
    <row r="90" spans="1:28" ht="15.75">
      <c r="A90" s="660"/>
      <c r="B90" s="710" t="s">
        <v>13</v>
      </c>
      <c r="C90" s="711"/>
      <c r="D90" s="711"/>
      <c r="E90" s="729"/>
      <c r="F90" s="672"/>
      <c r="G90" s="673"/>
      <c r="H90" s="664"/>
      <c r="I90" s="662"/>
      <c r="J90" s="663"/>
      <c r="K90" s="713"/>
      <c r="L90" s="1277"/>
      <c r="M90" s="1277"/>
      <c r="N90" s="1277"/>
      <c r="O90" s="1284"/>
      <c r="P90" s="696"/>
      <c r="Q90" s="1284"/>
      <c r="R90" s="1284"/>
      <c r="S90" s="1284"/>
      <c r="T90" s="730"/>
      <c r="U90" s="1273">
        <f>SUM(U86:U89)</f>
        <v>15022.800000000007</v>
      </c>
      <c r="V90" s="1273"/>
      <c r="W90" s="1273"/>
      <c r="X90" s="1273"/>
      <c r="Y90" s="1273">
        <f>SUM(Y86:Y89)</f>
        <v>4506.84</v>
      </c>
      <c r="Z90" s="1273">
        <f>SUM(Z86:Z89)</f>
        <v>3380.1300000000015</v>
      </c>
      <c r="AA90" s="1273">
        <f>SUM(AA86:AA89)</f>
        <v>150.22800000000007</v>
      </c>
      <c r="AB90" s="690">
        <f>SUM(AB86:AB89)</f>
        <v>23059.998000000007</v>
      </c>
    </row>
    <row r="91" spans="1:28" ht="15.75">
      <c r="A91" s="660"/>
      <c r="B91" s="884" t="s">
        <v>13</v>
      </c>
      <c r="C91" s="884"/>
      <c r="D91" s="884"/>
      <c r="E91" s="731"/>
      <c r="F91" s="732"/>
      <c r="G91" s="731"/>
      <c r="H91" s="664"/>
      <c r="I91" s="721"/>
      <c r="J91" s="664"/>
      <c r="K91" s="664"/>
      <c r="L91" s="1277"/>
      <c r="M91" s="1277"/>
      <c r="N91" s="1277"/>
      <c r="O91" s="1284"/>
      <c r="P91" s="696"/>
      <c r="Q91" s="1284"/>
      <c r="R91" s="1284"/>
      <c r="S91" s="1284"/>
      <c r="T91" s="696"/>
      <c r="U91" s="1277"/>
      <c r="V91" s="1273"/>
      <c r="W91" s="1273"/>
      <c r="X91" s="1273"/>
      <c r="Y91" s="1273"/>
      <c r="Z91" s="1277"/>
      <c r="AA91" s="1286"/>
      <c r="AB91" s="1287"/>
    </row>
    <row r="92" spans="1:28" ht="15.75">
      <c r="A92" s="733"/>
      <c r="B92" s="885" t="s">
        <v>426</v>
      </c>
      <c r="C92" s="885"/>
      <c r="D92" s="885"/>
      <c r="E92" s="885"/>
      <c r="F92" s="885"/>
      <c r="G92" s="885"/>
      <c r="H92" s="885"/>
      <c r="I92" s="885"/>
      <c r="J92" s="885"/>
      <c r="K92" s="885"/>
      <c r="L92" s="885"/>
      <c r="M92" s="885"/>
      <c r="N92" s="885"/>
      <c r="O92" s="885"/>
      <c r="P92" s="885"/>
      <c r="Q92" s="885"/>
      <c r="R92" s="885"/>
      <c r="S92" s="885"/>
      <c r="T92" s="885"/>
      <c r="U92" s="885"/>
      <c r="V92" s="885"/>
      <c r="W92" s="885"/>
      <c r="X92" s="885"/>
      <c r="Y92" s="885"/>
      <c r="Z92" s="885"/>
      <c r="AA92" s="885"/>
      <c r="AB92" s="885"/>
    </row>
    <row r="93" spans="1:28" ht="15.75">
      <c r="A93" s="734"/>
      <c r="B93" s="880"/>
      <c r="C93" s="880"/>
      <c r="D93" s="880"/>
      <c r="E93" s="880"/>
      <c r="F93" s="881"/>
      <c r="G93" s="881"/>
      <c r="H93" s="881"/>
      <c r="I93" s="881"/>
      <c r="J93" s="881"/>
      <c r="K93" s="881"/>
      <c r="L93" s="881"/>
      <c r="M93" s="881"/>
      <c r="N93" s="881"/>
      <c r="O93" s="881"/>
      <c r="P93" s="881"/>
      <c r="Q93" s="881"/>
      <c r="R93" s="881"/>
      <c r="S93" s="735"/>
      <c r="T93" s="735"/>
      <c r="U93" s="735"/>
      <c r="V93" s="735"/>
      <c r="W93" s="735"/>
      <c r="X93" s="735"/>
      <c r="Y93" s="735"/>
      <c r="Z93" s="735"/>
      <c r="AA93" s="735"/>
      <c r="AB93" s="735"/>
    </row>
    <row r="94" spans="1:28" ht="15.75">
      <c r="A94" s="736"/>
      <c r="B94" s="736"/>
      <c r="C94" s="736"/>
      <c r="D94" s="737"/>
      <c r="E94" s="737"/>
      <c r="F94" s="737"/>
      <c r="G94" s="737"/>
      <c r="H94" s="737"/>
      <c r="I94" s="737"/>
      <c r="J94" s="737"/>
      <c r="K94" s="737"/>
      <c r="L94" s="737"/>
      <c r="M94" s="737"/>
      <c r="N94" s="737"/>
      <c r="O94" s="737"/>
      <c r="P94" s="735"/>
      <c r="Q94" s="735"/>
      <c r="R94" s="735"/>
      <c r="S94" s="735"/>
      <c r="T94" s="735"/>
      <c r="U94" s="738"/>
      <c r="V94" s="738"/>
      <c r="W94" s="738"/>
      <c r="X94" s="738"/>
      <c r="Y94" s="738"/>
      <c r="Z94" s="738"/>
      <c r="AA94" s="738"/>
      <c r="AB94" s="738"/>
    </row>
    <row r="95" spans="1:28">
      <c r="A95" s="736"/>
      <c r="B95" s="739"/>
      <c r="C95" s="739"/>
      <c r="D95" s="737"/>
      <c r="E95" s="737"/>
      <c r="F95" s="737"/>
      <c r="G95" s="737"/>
      <c r="H95" s="737"/>
      <c r="I95" s="737"/>
      <c r="J95" s="737"/>
      <c r="K95" s="737"/>
      <c r="L95" s="737"/>
      <c r="M95" s="737"/>
      <c r="N95" s="737"/>
      <c r="O95" s="737"/>
      <c r="P95" s="737"/>
      <c r="Q95" s="737"/>
      <c r="R95" s="737"/>
      <c r="S95" s="737"/>
      <c r="T95" s="737"/>
      <c r="U95" s="736"/>
      <c r="V95" s="736"/>
      <c r="W95" s="736"/>
      <c r="X95" s="736"/>
      <c r="Y95" s="736"/>
      <c r="Z95" s="736"/>
      <c r="AA95" s="736"/>
      <c r="AB95" s="740"/>
    </row>
    <row r="96" spans="1:28">
      <c r="A96" s="736"/>
      <c r="B96" s="741"/>
      <c r="C96" s="741"/>
      <c r="D96" s="736"/>
      <c r="E96" s="736"/>
      <c r="F96" s="736"/>
      <c r="G96" s="736"/>
      <c r="H96" s="736"/>
      <c r="I96" s="736"/>
      <c r="J96" s="736"/>
      <c r="K96" s="736"/>
      <c r="L96" s="736"/>
      <c r="M96" s="736"/>
      <c r="N96" s="736"/>
      <c r="O96" s="736"/>
      <c r="P96" s="736"/>
      <c r="Q96" s="736"/>
      <c r="R96" s="737"/>
      <c r="S96" s="737"/>
      <c r="T96" s="737"/>
      <c r="U96" s="736"/>
      <c r="V96" s="736"/>
      <c r="W96" s="736"/>
      <c r="X96" s="736"/>
      <c r="Y96" s="736"/>
      <c r="Z96" s="736"/>
      <c r="AA96" s="736"/>
      <c r="AB96" s="740"/>
    </row>
    <row r="97" spans="1:28" ht="15.75">
      <c r="A97" s="736"/>
      <c r="B97" s="741"/>
      <c r="C97" s="741"/>
      <c r="D97" s="741"/>
      <c r="E97" s="741"/>
      <c r="F97" s="741"/>
      <c r="G97" s="741"/>
      <c r="H97" s="741"/>
      <c r="I97" s="741"/>
      <c r="J97" s="741"/>
      <c r="K97" s="741"/>
      <c r="L97" s="741"/>
      <c r="M97" s="742"/>
      <c r="N97" s="742"/>
      <c r="O97" s="743"/>
      <c r="P97" s="744"/>
      <c r="Q97" s="744"/>
      <c r="R97" s="743"/>
      <c r="S97" s="743"/>
      <c r="T97" s="742"/>
      <c r="U97" s="742"/>
      <c r="V97" s="742"/>
      <c r="W97" s="742"/>
      <c r="X97" s="742"/>
      <c r="Y97" s="742"/>
      <c r="Z97" s="742"/>
      <c r="AA97" s="742"/>
      <c r="AB97" s="745"/>
    </row>
    <row r="98" spans="1:28">
      <c r="A98" s="746"/>
      <c r="B98" s="747"/>
      <c r="C98" s="747"/>
      <c r="D98" s="748"/>
      <c r="E98" s="748"/>
      <c r="F98" s="748"/>
      <c r="G98" s="748"/>
      <c r="H98" s="748"/>
      <c r="I98" s="748"/>
      <c r="J98" s="748"/>
      <c r="K98" s="748"/>
      <c r="L98" s="749"/>
      <c r="M98" s="749"/>
      <c r="N98" s="749"/>
      <c r="O98" s="750"/>
      <c r="P98" s="750"/>
      <c r="Q98" s="751"/>
      <c r="R98" s="751"/>
      <c r="S98" s="751"/>
      <c r="T98" s="751"/>
      <c r="U98" s="751"/>
      <c r="V98" s="751"/>
      <c r="W98" s="751"/>
      <c r="X98" s="751"/>
      <c r="Y98" s="751"/>
      <c r="Z98" s="750"/>
      <c r="AA98" s="750"/>
      <c r="AB98" s="751"/>
    </row>
    <row r="99" spans="1:28" ht="15.75">
      <c r="A99" s="752"/>
      <c r="B99" s="753"/>
      <c r="C99" s="753"/>
      <c r="D99" s="754"/>
      <c r="E99" s="754"/>
      <c r="F99" s="754"/>
      <c r="G99" s="754"/>
      <c r="H99" s="754"/>
      <c r="I99" s="754"/>
      <c r="J99" s="754"/>
      <c r="K99" s="754"/>
      <c r="L99" s="754"/>
      <c r="M99" s="754"/>
      <c r="N99" s="754"/>
      <c r="O99" s="754"/>
      <c r="P99" s="754"/>
      <c r="Q99" s="754"/>
      <c r="R99" s="754"/>
      <c r="S99" s="754"/>
      <c r="T99" s="754"/>
      <c r="U99" s="754"/>
      <c r="V99" s="754"/>
      <c r="W99" s="754"/>
      <c r="X99" s="754"/>
      <c r="Y99" s="754"/>
      <c r="Z99" s="754"/>
      <c r="AA99" s="754"/>
      <c r="AB99" s="754"/>
    </row>
    <row r="100" spans="1:28" ht="15.75">
      <c r="A100" s="755"/>
      <c r="B100" s="756"/>
      <c r="C100" s="756"/>
      <c r="D100" s="754"/>
      <c r="E100" s="754"/>
      <c r="F100" s="754"/>
      <c r="G100" s="754"/>
      <c r="H100" s="754"/>
      <c r="I100" s="754"/>
      <c r="J100" s="754"/>
      <c r="K100" s="754"/>
      <c r="L100" s="754"/>
      <c r="M100" s="754"/>
      <c r="N100" s="754"/>
      <c r="O100" s="754"/>
      <c r="P100" s="754"/>
      <c r="Q100" s="754"/>
      <c r="R100" s="754"/>
      <c r="S100" s="754"/>
      <c r="T100" s="754"/>
      <c r="U100" s="754"/>
      <c r="V100" s="754"/>
      <c r="W100" s="754"/>
      <c r="X100" s="754"/>
      <c r="Y100" s="754"/>
      <c r="Z100" s="754"/>
      <c r="AA100" s="754"/>
      <c r="AB100" s="754"/>
    </row>
    <row r="101" spans="1:28" ht="15.75">
      <c r="A101" s="757"/>
      <c r="B101" s="758"/>
      <c r="C101" s="758"/>
      <c r="D101" s="754"/>
      <c r="E101" s="754"/>
      <c r="F101" s="754"/>
      <c r="G101" s="754"/>
      <c r="H101" s="754"/>
      <c r="I101" s="754"/>
      <c r="J101" s="754"/>
      <c r="K101" s="754"/>
      <c r="L101" s="754"/>
      <c r="M101" s="754"/>
      <c r="N101" s="754"/>
      <c r="O101" s="754"/>
      <c r="P101" s="754"/>
      <c r="Q101" s="754"/>
      <c r="R101" s="754"/>
      <c r="S101" s="754"/>
      <c r="T101" s="754"/>
      <c r="U101" s="754"/>
      <c r="V101" s="754"/>
      <c r="W101" s="754"/>
      <c r="X101" s="754"/>
      <c r="Y101" s="754"/>
      <c r="Z101" s="754"/>
      <c r="AA101" s="754"/>
      <c r="AB101" s="754"/>
    </row>
    <row r="102" spans="1:28" ht="16.5">
      <c r="A102" s="759"/>
      <c r="B102" s="760"/>
      <c r="C102" s="760"/>
      <c r="D102" s="761"/>
      <c r="E102" s="761"/>
      <c r="F102" s="761"/>
      <c r="G102" s="761"/>
      <c r="H102" s="761"/>
      <c r="I102" s="761"/>
      <c r="J102" s="761"/>
      <c r="K102" s="761"/>
      <c r="L102" s="761"/>
      <c r="M102" s="761"/>
      <c r="N102" s="761"/>
      <c r="O102" s="762"/>
      <c r="P102" s="762"/>
      <c r="Q102" s="762"/>
      <c r="R102" s="762"/>
      <c r="S102" s="762"/>
      <c r="T102" s="762"/>
      <c r="U102" s="763"/>
      <c r="V102" s="763"/>
      <c r="W102" s="763"/>
      <c r="X102" s="763"/>
      <c r="Y102" s="763"/>
      <c r="Z102" s="763"/>
      <c r="AA102" s="763"/>
      <c r="AB102" s="764"/>
    </row>
    <row r="103" spans="1:28" ht="16.5">
      <c r="A103" s="765"/>
      <c r="B103" s="766"/>
      <c r="C103" s="766"/>
      <c r="D103" s="767"/>
      <c r="E103" s="767"/>
      <c r="F103" s="767"/>
      <c r="G103" s="767"/>
      <c r="H103" s="767"/>
      <c r="I103" s="767"/>
      <c r="J103" s="767"/>
      <c r="K103" s="767"/>
      <c r="L103" s="767"/>
      <c r="M103" s="767"/>
      <c r="N103" s="767"/>
      <c r="O103" s="768"/>
      <c r="P103" s="768"/>
      <c r="Q103" s="768"/>
      <c r="R103" s="768"/>
      <c r="S103" s="768"/>
      <c r="T103" s="768"/>
      <c r="U103" s="769"/>
      <c r="V103" s="769"/>
      <c r="W103" s="769"/>
      <c r="X103" s="769"/>
      <c r="Y103" s="769"/>
      <c r="Z103" s="769"/>
      <c r="AA103" s="769"/>
      <c r="AB103" s="770"/>
    </row>
    <row r="104" spans="1:28" ht="16.5">
      <c r="A104" s="765"/>
      <c r="B104" s="771"/>
      <c r="C104" s="771"/>
      <c r="D104" s="772"/>
      <c r="E104" s="772"/>
      <c r="F104" s="772"/>
      <c r="G104" s="772"/>
      <c r="H104" s="772"/>
      <c r="I104" s="772"/>
      <c r="J104" s="772"/>
      <c r="K104" s="772"/>
      <c r="L104" s="773"/>
      <c r="M104" s="773"/>
      <c r="N104" s="773"/>
      <c r="O104" s="768"/>
      <c r="P104" s="768"/>
      <c r="Q104" s="768"/>
      <c r="R104" s="768"/>
      <c r="S104" s="768"/>
      <c r="T104" s="768"/>
      <c r="U104" s="769"/>
      <c r="V104" s="769"/>
      <c r="W104" s="769"/>
      <c r="X104" s="769"/>
      <c r="Y104" s="769"/>
      <c r="Z104" s="769"/>
      <c r="AA104" s="769"/>
      <c r="AB104" s="770"/>
    </row>
    <row r="105" spans="1:28" ht="16.5">
      <c r="A105" s="774"/>
      <c r="B105" s="775"/>
      <c r="C105" s="775"/>
      <c r="D105" s="776"/>
      <c r="E105" s="776"/>
      <c r="F105" s="776"/>
      <c r="G105" s="776"/>
      <c r="H105" s="776"/>
      <c r="I105" s="776"/>
      <c r="J105" s="776"/>
      <c r="K105" s="776"/>
      <c r="L105" s="777"/>
      <c r="M105" s="777"/>
      <c r="N105" s="777"/>
      <c r="O105" s="762"/>
      <c r="P105" s="762"/>
      <c r="Q105" s="762"/>
      <c r="R105" s="762"/>
      <c r="S105" s="762"/>
      <c r="T105" s="762"/>
      <c r="U105" s="763"/>
      <c r="V105" s="763"/>
      <c r="W105" s="763"/>
      <c r="X105" s="763"/>
      <c r="Y105" s="763"/>
      <c r="Z105" s="763"/>
      <c r="AA105" s="763"/>
      <c r="AB105" s="764"/>
    </row>
    <row r="106" spans="1:28" ht="15.75">
      <c r="A106" s="778"/>
      <c r="B106" s="779"/>
      <c r="C106" s="779"/>
      <c r="D106" s="754"/>
      <c r="E106" s="754"/>
      <c r="F106" s="754"/>
      <c r="G106" s="754"/>
      <c r="H106" s="754"/>
      <c r="I106" s="754"/>
      <c r="J106" s="754"/>
      <c r="K106" s="754"/>
      <c r="L106" s="754"/>
      <c r="M106" s="754"/>
      <c r="N106" s="754"/>
      <c r="O106" s="754"/>
      <c r="P106" s="754"/>
      <c r="Q106" s="754"/>
      <c r="R106" s="754"/>
      <c r="S106" s="754"/>
      <c r="T106" s="754"/>
      <c r="U106" s="754"/>
      <c r="V106" s="754"/>
      <c r="W106" s="754"/>
      <c r="X106" s="754"/>
      <c r="Y106" s="754"/>
      <c r="Z106" s="754"/>
      <c r="AA106" s="754"/>
      <c r="AB106" s="754"/>
    </row>
    <row r="107" spans="1:28" ht="16.5">
      <c r="A107" s="765"/>
      <c r="B107" s="780"/>
      <c r="C107" s="780"/>
      <c r="D107" s="772"/>
      <c r="E107" s="772"/>
      <c r="F107" s="772"/>
      <c r="G107" s="772"/>
      <c r="H107" s="772"/>
      <c r="I107" s="772"/>
      <c r="J107" s="772"/>
      <c r="K107" s="772"/>
      <c r="L107" s="773"/>
      <c r="M107" s="773"/>
      <c r="N107" s="773"/>
      <c r="O107" s="768"/>
      <c r="P107" s="768"/>
      <c r="Q107" s="768"/>
      <c r="R107" s="768"/>
      <c r="S107" s="768"/>
      <c r="T107" s="768"/>
      <c r="U107" s="769"/>
      <c r="V107" s="769"/>
      <c r="W107" s="769"/>
      <c r="X107" s="769"/>
      <c r="Y107" s="769"/>
      <c r="Z107" s="769"/>
      <c r="AA107" s="769"/>
      <c r="AB107" s="770"/>
    </row>
    <row r="108" spans="1:28" ht="16.5">
      <c r="A108" s="774"/>
      <c r="B108" s="775"/>
      <c r="C108" s="775"/>
      <c r="D108" s="776"/>
      <c r="E108" s="776"/>
      <c r="F108" s="776"/>
      <c r="G108" s="776"/>
      <c r="H108" s="776"/>
      <c r="I108" s="776"/>
      <c r="J108" s="776"/>
      <c r="K108" s="776"/>
      <c r="L108" s="777"/>
      <c r="M108" s="777"/>
      <c r="N108" s="777"/>
      <c r="O108" s="762"/>
      <c r="P108" s="762"/>
      <c r="Q108" s="762"/>
      <c r="R108" s="762"/>
      <c r="S108" s="762"/>
      <c r="T108" s="762"/>
      <c r="U108" s="763"/>
      <c r="V108" s="763"/>
      <c r="W108" s="763"/>
      <c r="X108" s="763"/>
      <c r="Y108" s="763"/>
      <c r="Z108" s="763"/>
      <c r="AA108" s="763"/>
      <c r="AB108" s="764"/>
    </row>
    <row r="109" spans="1:28" ht="16.5">
      <c r="A109" s="774"/>
      <c r="B109" s="775"/>
      <c r="C109" s="775"/>
      <c r="D109" s="776"/>
      <c r="E109" s="776"/>
      <c r="F109" s="776"/>
      <c r="G109" s="776"/>
      <c r="H109" s="776"/>
      <c r="I109" s="776"/>
      <c r="J109" s="776"/>
      <c r="K109" s="776"/>
      <c r="L109" s="777"/>
      <c r="M109" s="777"/>
      <c r="N109" s="777"/>
      <c r="O109" s="762"/>
      <c r="P109" s="762"/>
      <c r="Q109" s="762"/>
      <c r="R109" s="762"/>
      <c r="S109" s="762"/>
      <c r="T109" s="762"/>
      <c r="U109" s="763"/>
      <c r="V109" s="763"/>
      <c r="W109" s="763"/>
      <c r="X109" s="763"/>
      <c r="Y109" s="763"/>
      <c r="Z109" s="763"/>
      <c r="AA109" s="763"/>
      <c r="AB109" s="764"/>
    </row>
    <row r="110" spans="1:28" ht="16.5">
      <c r="A110" s="774"/>
      <c r="B110" s="775"/>
      <c r="C110" s="775"/>
      <c r="D110" s="776"/>
      <c r="E110" s="776"/>
      <c r="F110" s="776"/>
      <c r="G110" s="776"/>
      <c r="H110" s="776"/>
      <c r="I110" s="776"/>
      <c r="J110" s="776"/>
      <c r="K110" s="776"/>
      <c r="L110" s="777"/>
      <c r="M110" s="777"/>
      <c r="N110" s="777"/>
      <c r="O110" s="762"/>
      <c r="P110" s="762"/>
      <c r="Q110" s="762"/>
      <c r="R110" s="762"/>
      <c r="S110" s="762"/>
      <c r="T110" s="762"/>
      <c r="U110" s="763"/>
      <c r="V110" s="763"/>
      <c r="W110" s="763"/>
      <c r="X110" s="763"/>
      <c r="Y110" s="763"/>
      <c r="Z110" s="763"/>
      <c r="AA110" s="763"/>
      <c r="AB110" s="764"/>
    </row>
    <row r="111" spans="1:28" ht="16.5">
      <c r="A111" s="774"/>
      <c r="B111" s="775"/>
      <c r="C111" s="775"/>
      <c r="D111" s="776"/>
      <c r="E111" s="776"/>
      <c r="F111" s="776"/>
      <c r="G111" s="776"/>
      <c r="H111" s="776"/>
      <c r="I111" s="776"/>
      <c r="J111" s="776"/>
      <c r="K111" s="776"/>
      <c r="L111" s="777"/>
      <c r="M111" s="777"/>
      <c r="N111" s="777"/>
      <c r="O111" s="762"/>
      <c r="P111" s="762"/>
      <c r="Q111" s="781"/>
      <c r="R111" s="762"/>
      <c r="S111" s="762"/>
      <c r="T111" s="762"/>
      <c r="U111" s="763"/>
      <c r="V111" s="763"/>
      <c r="W111" s="763"/>
      <c r="X111" s="763"/>
      <c r="Y111" s="763"/>
      <c r="Z111" s="763"/>
      <c r="AA111" s="763"/>
      <c r="AB111" s="764"/>
    </row>
    <row r="112" spans="1:28" ht="16.5">
      <c r="A112" s="774"/>
      <c r="B112" s="775"/>
      <c r="C112" s="775"/>
      <c r="D112" s="776"/>
      <c r="E112" s="776"/>
      <c r="F112" s="776"/>
      <c r="G112" s="776"/>
      <c r="H112" s="776"/>
      <c r="I112" s="776"/>
      <c r="J112" s="776"/>
      <c r="K112" s="776"/>
      <c r="L112" s="777"/>
      <c r="M112" s="777"/>
      <c r="N112" s="777"/>
      <c r="O112" s="762"/>
      <c r="P112" s="762"/>
      <c r="Q112" s="762"/>
      <c r="R112" s="762"/>
      <c r="S112" s="762"/>
      <c r="T112" s="762"/>
      <c r="U112" s="763"/>
      <c r="V112" s="763"/>
      <c r="W112" s="763"/>
      <c r="X112" s="763"/>
      <c r="Y112" s="763"/>
      <c r="Z112" s="763"/>
      <c r="AA112" s="763"/>
      <c r="AB112" s="764"/>
    </row>
    <row r="113" spans="1:28" ht="16.5">
      <c r="A113" s="774"/>
      <c r="B113" s="775"/>
      <c r="C113" s="775"/>
      <c r="D113" s="776"/>
      <c r="E113" s="776"/>
      <c r="F113" s="776"/>
      <c r="G113" s="776"/>
      <c r="H113" s="776"/>
      <c r="I113" s="776"/>
      <c r="J113" s="776"/>
      <c r="K113" s="776"/>
      <c r="L113" s="777"/>
      <c r="M113" s="777"/>
      <c r="N113" s="777"/>
      <c r="O113" s="762"/>
      <c r="P113" s="762"/>
      <c r="Q113" s="762"/>
      <c r="R113" s="762"/>
      <c r="S113" s="762"/>
      <c r="T113" s="762"/>
      <c r="U113" s="763"/>
      <c r="V113" s="763"/>
      <c r="W113" s="763"/>
      <c r="X113" s="763"/>
      <c r="Y113" s="763"/>
      <c r="Z113" s="763"/>
      <c r="AA113" s="763"/>
      <c r="AB113" s="764"/>
    </row>
    <row r="114" spans="1:28" ht="16.5">
      <c r="A114" s="774"/>
      <c r="B114" s="775"/>
      <c r="C114" s="775"/>
      <c r="D114" s="776"/>
      <c r="E114" s="776"/>
      <c r="F114" s="776"/>
      <c r="G114" s="776"/>
      <c r="H114" s="776"/>
      <c r="I114" s="776"/>
      <c r="J114" s="776"/>
      <c r="K114" s="776"/>
      <c r="L114" s="777"/>
      <c r="M114" s="777"/>
      <c r="N114" s="777"/>
      <c r="O114" s="762"/>
      <c r="P114" s="762"/>
      <c r="Q114" s="762"/>
      <c r="R114" s="762"/>
      <c r="S114" s="762"/>
      <c r="T114" s="762"/>
      <c r="U114" s="763"/>
      <c r="V114" s="763"/>
      <c r="W114" s="763"/>
      <c r="X114" s="763"/>
      <c r="Y114" s="763"/>
      <c r="Z114" s="763"/>
      <c r="AA114" s="763"/>
      <c r="AB114" s="764"/>
    </row>
    <row r="115" spans="1:28" ht="16.5">
      <c r="A115" s="765"/>
      <c r="B115" s="780"/>
      <c r="C115" s="780"/>
      <c r="D115" s="772"/>
      <c r="E115" s="772"/>
      <c r="F115" s="772"/>
      <c r="G115" s="772"/>
      <c r="H115" s="772"/>
      <c r="I115" s="772"/>
      <c r="J115" s="772"/>
      <c r="K115" s="772"/>
      <c r="L115" s="773"/>
      <c r="M115" s="773"/>
      <c r="N115" s="773"/>
      <c r="O115" s="768"/>
      <c r="P115" s="768"/>
      <c r="Q115" s="768"/>
      <c r="R115" s="768"/>
      <c r="S115" s="768"/>
      <c r="T115" s="768"/>
      <c r="U115" s="769"/>
      <c r="V115" s="769"/>
      <c r="W115" s="769"/>
      <c r="X115" s="769"/>
      <c r="Y115" s="769"/>
      <c r="Z115" s="769"/>
      <c r="AA115" s="769"/>
      <c r="AB115" s="770"/>
    </row>
    <row r="116" spans="1:28" ht="16.5">
      <c r="A116" s="774"/>
      <c r="B116" s="775"/>
      <c r="C116" s="775"/>
      <c r="D116" s="776"/>
      <c r="E116" s="776"/>
      <c r="F116" s="776"/>
      <c r="G116" s="776"/>
      <c r="H116" s="776"/>
      <c r="I116" s="776"/>
      <c r="J116" s="776"/>
      <c r="K116" s="776"/>
      <c r="L116" s="777"/>
      <c r="M116" s="777"/>
      <c r="N116" s="777"/>
      <c r="O116" s="762"/>
      <c r="P116" s="762"/>
      <c r="Q116" s="762"/>
      <c r="R116" s="762"/>
      <c r="S116" s="762"/>
      <c r="T116" s="762"/>
      <c r="U116" s="763"/>
      <c r="V116" s="763"/>
      <c r="W116" s="763"/>
      <c r="X116" s="763"/>
      <c r="Y116" s="763"/>
      <c r="Z116" s="763"/>
      <c r="AA116" s="763"/>
      <c r="AB116" s="764"/>
    </row>
    <row r="117" spans="1:28" ht="15.75">
      <c r="A117" s="755"/>
      <c r="B117" s="782"/>
      <c r="C117" s="782"/>
      <c r="D117" s="754"/>
      <c r="E117" s="754"/>
      <c r="F117" s="754"/>
      <c r="G117" s="754"/>
      <c r="H117" s="754"/>
      <c r="I117" s="754"/>
      <c r="J117" s="754"/>
      <c r="K117" s="754"/>
      <c r="L117" s="754"/>
      <c r="M117" s="754"/>
      <c r="N117" s="754"/>
      <c r="O117" s="754"/>
      <c r="P117" s="754"/>
      <c r="Q117" s="754"/>
      <c r="R117" s="754"/>
      <c r="S117" s="754"/>
      <c r="T117" s="754"/>
      <c r="U117" s="754"/>
      <c r="V117" s="754"/>
      <c r="W117" s="754"/>
      <c r="X117" s="754"/>
      <c r="Y117" s="754"/>
      <c r="Z117" s="754"/>
      <c r="AA117" s="754"/>
      <c r="AB117" s="754"/>
    </row>
    <row r="118" spans="1:28">
      <c r="A118" s="783"/>
      <c r="B118" s="782"/>
      <c r="C118" s="782"/>
      <c r="D118" s="754"/>
      <c r="E118" s="754"/>
      <c r="F118" s="754"/>
      <c r="G118" s="754"/>
      <c r="H118" s="754"/>
      <c r="I118" s="754"/>
      <c r="J118" s="754"/>
      <c r="K118" s="754"/>
      <c r="L118" s="754"/>
      <c r="M118" s="754"/>
      <c r="N118" s="754"/>
      <c r="O118" s="754"/>
      <c r="P118" s="754"/>
      <c r="Q118" s="754"/>
      <c r="R118" s="754"/>
      <c r="S118" s="754"/>
      <c r="T118" s="754"/>
      <c r="U118" s="754"/>
      <c r="V118" s="754"/>
      <c r="W118" s="754"/>
      <c r="X118" s="754"/>
      <c r="Y118" s="754"/>
      <c r="Z118" s="754"/>
      <c r="AA118" s="754"/>
      <c r="AB118" s="754"/>
    </row>
    <row r="119" spans="1:28" ht="16.5">
      <c r="A119" s="774"/>
      <c r="B119" s="775"/>
      <c r="C119" s="775"/>
      <c r="D119" s="776"/>
      <c r="E119" s="776"/>
      <c r="F119" s="776"/>
      <c r="G119" s="776"/>
      <c r="H119" s="776"/>
      <c r="I119" s="776"/>
      <c r="J119" s="776"/>
      <c r="K119" s="776"/>
      <c r="L119" s="777"/>
      <c r="M119" s="777"/>
      <c r="N119" s="777"/>
      <c r="O119" s="762"/>
      <c r="P119" s="762"/>
      <c r="Q119" s="762"/>
      <c r="R119" s="762"/>
      <c r="S119" s="762"/>
      <c r="T119" s="762"/>
      <c r="U119" s="763"/>
      <c r="V119" s="763"/>
      <c r="W119" s="763"/>
      <c r="X119" s="763"/>
      <c r="Y119" s="763"/>
      <c r="Z119" s="763"/>
      <c r="AA119" s="763"/>
      <c r="AB119" s="764"/>
    </row>
    <row r="120" spans="1:28" ht="16.5">
      <c r="A120" s="774"/>
      <c r="B120" s="775"/>
      <c r="C120" s="775"/>
      <c r="D120" s="776"/>
      <c r="E120" s="776"/>
      <c r="F120" s="776"/>
      <c r="G120" s="776"/>
      <c r="H120" s="776"/>
      <c r="I120" s="776"/>
      <c r="J120" s="776"/>
      <c r="K120" s="776"/>
      <c r="L120" s="777"/>
      <c r="M120" s="777"/>
      <c r="N120" s="777"/>
      <c r="O120" s="762"/>
      <c r="P120" s="762"/>
      <c r="Q120" s="762"/>
      <c r="R120" s="762"/>
      <c r="S120" s="762"/>
      <c r="T120" s="762"/>
      <c r="U120" s="763"/>
      <c r="V120" s="763"/>
      <c r="W120" s="763"/>
      <c r="X120" s="763"/>
      <c r="Y120" s="763"/>
      <c r="Z120" s="763"/>
      <c r="AA120" s="763"/>
      <c r="AB120" s="764"/>
    </row>
    <row r="121" spans="1:28" ht="16.5">
      <c r="A121" s="774"/>
      <c r="B121" s="775"/>
      <c r="C121" s="775"/>
      <c r="D121" s="776"/>
      <c r="E121" s="776"/>
      <c r="F121" s="776"/>
      <c r="G121" s="776"/>
      <c r="H121" s="776"/>
      <c r="I121" s="776"/>
      <c r="J121" s="776"/>
      <c r="K121" s="776"/>
      <c r="L121" s="777"/>
      <c r="M121" s="777"/>
      <c r="N121" s="777"/>
      <c r="O121" s="762"/>
      <c r="P121" s="762"/>
      <c r="Q121" s="762"/>
      <c r="R121" s="762"/>
      <c r="S121" s="762"/>
      <c r="T121" s="762"/>
      <c r="U121" s="763"/>
      <c r="V121" s="763"/>
      <c r="W121" s="763"/>
      <c r="X121" s="763"/>
      <c r="Y121" s="763"/>
      <c r="Z121" s="763"/>
      <c r="AA121" s="763"/>
      <c r="AB121" s="764"/>
    </row>
    <row r="122" spans="1:28" ht="16.5">
      <c r="A122" s="774"/>
      <c r="B122" s="775"/>
      <c r="C122" s="775"/>
      <c r="D122" s="776"/>
      <c r="E122" s="776"/>
      <c r="F122" s="776"/>
      <c r="G122" s="776"/>
      <c r="H122" s="776"/>
      <c r="I122" s="776"/>
      <c r="J122" s="776"/>
      <c r="K122" s="776"/>
      <c r="L122" s="777"/>
      <c r="M122" s="777"/>
      <c r="N122" s="777"/>
      <c r="O122" s="762"/>
      <c r="P122" s="762"/>
      <c r="Q122" s="762"/>
      <c r="R122" s="762"/>
      <c r="S122" s="762"/>
      <c r="T122" s="762"/>
      <c r="U122" s="763"/>
      <c r="V122" s="763"/>
      <c r="W122" s="763"/>
      <c r="X122" s="763"/>
      <c r="Y122" s="763"/>
      <c r="Z122" s="763"/>
      <c r="AA122" s="763"/>
      <c r="AB122" s="764"/>
    </row>
    <row r="123" spans="1:28" ht="16.5">
      <c r="A123" s="774"/>
      <c r="B123" s="784"/>
      <c r="C123" s="784"/>
      <c r="D123" s="776"/>
      <c r="E123" s="776"/>
      <c r="F123" s="776"/>
      <c r="G123" s="776"/>
      <c r="H123" s="776"/>
      <c r="I123" s="776"/>
      <c r="J123" s="776"/>
      <c r="K123" s="776"/>
      <c r="L123" s="777"/>
      <c r="M123" s="777"/>
      <c r="N123" s="777"/>
      <c r="O123" s="762"/>
      <c r="P123" s="762"/>
      <c r="Q123" s="762"/>
      <c r="R123" s="762"/>
      <c r="S123" s="762"/>
      <c r="T123" s="762"/>
      <c r="U123" s="763"/>
      <c r="V123" s="763"/>
      <c r="W123" s="763"/>
      <c r="X123" s="763"/>
      <c r="Y123" s="763"/>
      <c r="Z123" s="763"/>
      <c r="AA123" s="763"/>
      <c r="AB123" s="764"/>
    </row>
    <row r="124" spans="1:28" ht="16.5">
      <c r="A124" s="774"/>
      <c r="B124" s="784"/>
      <c r="C124" s="784"/>
      <c r="D124" s="776"/>
      <c r="E124" s="776"/>
      <c r="F124" s="776"/>
      <c r="G124" s="776"/>
      <c r="H124" s="776"/>
      <c r="I124" s="776"/>
      <c r="J124" s="776"/>
      <c r="K124" s="776"/>
      <c r="L124" s="777"/>
      <c r="M124" s="777"/>
      <c r="N124" s="777"/>
      <c r="O124" s="762"/>
      <c r="P124" s="762"/>
      <c r="Q124" s="762"/>
      <c r="R124" s="762"/>
      <c r="S124" s="762"/>
      <c r="T124" s="762"/>
      <c r="U124" s="763"/>
      <c r="V124" s="763"/>
      <c r="W124" s="763"/>
      <c r="X124" s="763"/>
      <c r="Y124" s="763"/>
      <c r="Z124" s="763"/>
      <c r="AA124" s="763"/>
      <c r="AB124" s="764"/>
    </row>
    <row r="125" spans="1:28" ht="15.75">
      <c r="A125" s="785"/>
      <c r="B125" s="782"/>
      <c r="C125" s="782"/>
      <c r="D125" s="754"/>
      <c r="E125" s="754"/>
      <c r="F125" s="754"/>
      <c r="G125" s="754"/>
      <c r="H125" s="754"/>
      <c r="I125" s="754"/>
      <c r="J125" s="754"/>
      <c r="K125" s="754"/>
      <c r="L125" s="754"/>
      <c r="M125" s="754"/>
      <c r="N125" s="754"/>
      <c r="O125" s="754"/>
      <c r="P125" s="754"/>
      <c r="Q125" s="754"/>
      <c r="R125" s="754"/>
      <c r="S125" s="754"/>
      <c r="T125" s="754"/>
      <c r="U125" s="754"/>
      <c r="V125" s="754"/>
      <c r="W125" s="754"/>
      <c r="X125" s="754"/>
      <c r="Y125" s="754"/>
      <c r="Z125" s="754"/>
      <c r="AA125" s="754"/>
      <c r="AB125" s="754"/>
    </row>
    <row r="126" spans="1:28" ht="16.5">
      <c r="A126" s="765"/>
      <c r="B126" s="780"/>
      <c r="C126" s="780"/>
      <c r="D126" s="772"/>
      <c r="E126" s="772"/>
      <c r="F126" s="772"/>
      <c r="G126" s="772"/>
      <c r="H126" s="772"/>
      <c r="I126" s="772"/>
      <c r="J126" s="772"/>
      <c r="K126" s="772"/>
      <c r="L126" s="773"/>
      <c r="M126" s="773"/>
      <c r="N126" s="773"/>
      <c r="O126" s="768"/>
      <c r="P126" s="768"/>
      <c r="Q126" s="768"/>
      <c r="R126" s="768"/>
      <c r="S126" s="768"/>
      <c r="T126" s="768"/>
      <c r="U126" s="769"/>
      <c r="V126" s="769"/>
      <c r="W126" s="769"/>
      <c r="X126" s="769"/>
      <c r="Y126" s="769"/>
      <c r="Z126" s="769"/>
      <c r="AA126" s="769"/>
      <c r="AB126" s="770"/>
    </row>
    <row r="127" spans="1:28" ht="16.5">
      <c r="A127" s="765"/>
      <c r="B127" s="780"/>
      <c r="C127" s="780"/>
      <c r="D127" s="772"/>
      <c r="E127" s="772"/>
      <c r="F127" s="772"/>
      <c r="G127" s="772"/>
      <c r="H127" s="772"/>
      <c r="I127" s="772"/>
      <c r="J127" s="772"/>
      <c r="K127" s="772"/>
      <c r="L127" s="773"/>
      <c r="M127" s="773"/>
      <c r="N127" s="773"/>
      <c r="O127" s="768"/>
      <c r="P127" s="768"/>
      <c r="Q127" s="768"/>
      <c r="R127" s="768"/>
      <c r="S127" s="768"/>
      <c r="T127" s="768"/>
      <c r="U127" s="769"/>
      <c r="V127" s="769"/>
      <c r="W127" s="769"/>
      <c r="X127" s="769"/>
      <c r="Y127" s="769"/>
      <c r="Z127" s="767"/>
      <c r="AA127" s="767"/>
      <c r="AB127" s="770"/>
    </row>
    <row r="128" spans="1:28" ht="16.5">
      <c r="A128" s="774"/>
      <c r="B128" s="775"/>
      <c r="C128" s="775"/>
      <c r="D128" s="776"/>
      <c r="E128" s="776"/>
      <c r="F128" s="776"/>
      <c r="G128" s="776"/>
      <c r="H128" s="776"/>
      <c r="I128" s="776"/>
      <c r="J128" s="776"/>
      <c r="K128" s="776"/>
      <c r="L128" s="777"/>
      <c r="M128" s="777"/>
      <c r="N128" s="777"/>
      <c r="O128" s="762"/>
      <c r="P128" s="762"/>
      <c r="Q128" s="762"/>
      <c r="R128" s="762"/>
      <c r="S128" s="762"/>
      <c r="T128" s="762"/>
      <c r="U128" s="763"/>
      <c r="V128" s="763"/>
      <c r="W128" s="763"/>
      <c r="X128" s="763"/>
      <c r="Y128" s="763"/>
      <c r="Z128" s="763"/>
      <c r="AA128" s="763"/>
      <c r="AB128" s="764"/>
    </row>
    <row r="129" spans="1:28" ht="16.5">
      <c r="A129" s="774"/>
      <c r="B129" s="775"/>
      <c r="C129" s="775"/>
      <c r="D129" s="776"/>
      <c r="E129" s="776"/>
      <c r="F129" s="776"/>
      <c r="G129" s="776"/>
      <c r="H129" s="776"/>
      <c r="I129" s="776"/>
      <c r="J129" s="776"/>
      <c r="K129" s="776"/>
      <c r="L129" s="777"/>
      <c r="M129" s="777"/>
      <c r="N129" s="777"/>
      <c r="O129" s="762"/>
      <c r="P129" s="762"/>
      <c r="Q129" s="762"/>
      <c r="R129" s="762"/>
      <c r="S129" s="762"/>
      <c r="T129" s="762"/>
      <c r="U129" s="763"/>
      <c r="V129" s="763"/>
      <c r="W129" s="763"/>
      <c r="X129" s="763"/>
      <c r="Y129" s="763"/>
      <c r="Z129" s="763"/>
      <c r="AA129" s="763"/>
      <c r="AB129" s="764"/>
    </row>
    <row r="130" spans="1:28" ht="16.5">
      <c r="A130" s="774"/>
      <c r="B130" s="775"/>
      <c r="C130" s="775"/>
      <c r="D130" s="776"/>
      <c r="E130" s="776"/>
      <c r="F130" s="776"/>
      <c r="G130" s="776"/>
      <c r="H130" s="776"/>
      <c r="I130" s="776"/>
      <c r="J130" s="776"/>
      <c r="K130" s="776"/>
      <c r="L130" s="777"/>
      <c r="M130" s="777"/>
      <c r="N130" s="777"/>
      <c r="O130" s="762"/>
      <c r="P130" s="762"/>
      <c r="Q130" s="762"/>
      <c r="R130" s="762"/>
      <c r="S130" s="762"/>
      <c r="T130" s="762"/>
      <c r="U130" s="763"/>
      <c r="V130" s="763"/>
      <c r="W130" s="763"/>
      <c r="X130" s="763"/>
      <c r="Y130" s="763"/>
      <c r="Z130" s="763"/>
      <c r="AA130" s="763"/>
      <c r="AB130" s="764"/>
    </row>
    <row r="131" spans="1:28" ht="16.5">
      <c r="A131" s="774"/>
      <c r="B131" s="775"/>
      <c r="C131" s="775"/>
      <c r="D131" s="776"/>
      <c r="E131" s="776"/>
      <c r="F131" s="776"/>
      <c r="G131" s="776"/>
      <c r="H131" s="776"/>
      <c r="I131" s="776"/>
      <c r="J131" s="776"/>
      <c r="K131" s="776"/>
      <c r="L131" s="777"/>
      <c r="M131" s="777"/>
      <c r="N131" s="777"/>
      <c r="O131" s="762"/>
      <c r="P131" s="762"/>
      <c r="Q131" s="762"/>
      <c r="R131" s="762"/>
      <c r="S131" s="762"/>
      <c r="T131" s="762"/>
      <c r="U131" s="763"/>
      <c r="V131" s="763"/>
      <c r="W131" s="763"/>
      <c r="X131" s="763"/>
      <c r="Y131" s="763"/>
      <c r="Z131" s="763"/>
      <c r="AA131" s="763"/>
      <c r="AB131" s="764"/>
    </row>
    <row r="132" spans="1:28" ht="16.5">
      <c r="A132" s="774"/>
      <c r="B132" s="775"/>
      <c r="C132" s="775"/>
      <c r="D132" s="776"/>
      <c r="E132" s="776"/>
      <c r="F132" s="776"/>
      <c r="G132" s="776"/>
      <c r="H132" s="776"/>
      <c r="I132" s="776"/>
      <c r="J132" s="776"/>
      <c r="K132" s="776"/>
      <c r="L132" s="777"/>
      <c r="M132" s="777"/>
      <c r="N132" s="777"/>
      <c r="O132" s="762"/>
      <c r="P132" s="762"/>
      <c r="Q132" s="762"/>
      <c r="R132" s="762"/>
      <c r="S132" s="762"/>
      <c r="T132" s="762"/>
      <c r="U132" s="763"/>
      <c r="V132" s="763"/>
      <c r="W132" s="763"/>
      <c r="X132" s="763"/>
      <c r="Y132" s="763"/>
      <c r="Z132" s="763"/>
      <c r="AA132" s="763"/>
      <c r="AB132" s="764"/>
    </row>
    <row r="133" spans="1:28" ht="16.5">
      <c r="A133" s="774"/>
      <c r="B133" s="775"/>
      <c r="C133" s="775"/>
      <c r="D133" s="776"/>
      <c r="E133" s="776"/>
      <c r="F133" s="776"/>
      <c r="G133" s="776"/>
      <c r="H133" s="776"/>
      <c r="I133" s="776"/>
      <c r="J133" s="776"/>
      <c r="K133" s="776"/>
      <c r="L133" s="777"/>
      <c r="M133" s="777"/>
      <c r="N133" s="777"/>
      <c r="O133" s="762"/>
      <c r="P133" s="762"/>
      <c r="Q133" s="762"/>
      <c r="R133" s="762"/>
      <c r="S133" s="762"/>
      <c r="T133" s="762"/>
      <c r="U133" s="763"/>
      <c r="V133" s="763"/>
      <c r="W133" s="763"/>
      <c r="X133" s="763"/>
      <c r="Y133" s="763"/>
      <c r="Z133" s="763"/>
      <c r="AA133" s="763"/>
      <c r="AB133" s="764"/>
    </row>
    <row r="134" spans="1:28" ht="16.5">
      <c r="A134" s="765"/>
      <c r="B134" s="780"/>
      <c r="C134" s="780"/>
      <c r="D134" s="772"/>
      <c r="E134" s="772"/>
      <c r="F134" s="772"/>
      <c r="G134" s="772"/>
      <c r="H134" s="772"/>
      <c r="I134" s="772"/>
      <c r="J134" s="772"/>
      <c r="K134" s="772"/>
      <c r="L134" s="773"/>
      <c r="M134" s="773"/>
      <c r="N134" s="773"/>
      <c r="O134" s="768"/>
      <c r="P134" s="768"/>
      <c r="Q134" s="768"/>
      <c r="R134" s="768"/>
      <c r="S134" s="768"/>
      <c r="T134" s="768"/>
      <c r="U134" s="769"/>
      <c r="V134" s="769"/>
      <c r="W134" s="769"/>
      <c r="X134" s="769"/>
      <c r="Y134" s="769"/>
      <c r="Z134" s="769"/>
      <c r="AA134" s="769"/>
      <c r="AB134" s="770"/>
    </row>
    <row r="135" spans="1:28" ht="16.5">
      <c r="A135" s="774"/>
      <c r="B135" s="775"/>
      <c r="C135" s="775"/>
      <c r="D135" s="786"/>
      <c r="E135" s="786"/>
      <c r="F135" s="786"/>
      <c r="G135" s="786"/>
      <c r="H135" s="786"/>
      <c r="I135" s="786"/>
      <c r="J135" s="786"/>
      <c r="K135" s="786"/>
      <c r="L135" s="786"/>
      <c r="M135" s="786"/>
      <c r="N135" s="786"/>
      <c r="O135" s="762"/>
      <c r="P135" s="762"/>
      <c r="Q135" s="762"/>
      <c r="R135" s="762"/>
      <c r="S135" s="762"/>
      <c r="T135" s="762"/>
      <c r="U135" s="763"/>
      <c r="V135" s="763"/>
      <c r="W135" s="763"/>
      <c r="X135" s="763"/>
      <c r="Y135" s="763"/>
      <c r="Z135" s="763"/>
      <c r="AA135" s="763"/>
      <c r="AB135" s="764"/>
    </row>
    <row r="136" spans="1:28" ht="15.75">
      <c r="A136" s="734"/>
      <c r="B136" s="734"/>
      <c r="C136" s="734"/>
      <c r="D136" s="787"/>
      <c r="E136" s="787"/>
      <c r="F136" s="787"/>
      <c r="G136" s="787"/>
      <c r="H136" s="787"/>
      <c r="I136" s="787"/>
      <c r="J136" s="787"/>
      <c r="K136" s="787"/>
      <c r="L136" s="787"/>
      <c r="M136" s="787"/>
      <c r="N136" s="787"/>
      <c r="O136" s="788"/>
      <c r="P136" s="788"/>
      <c r="Q136" s="788"/>
      <c r="R136" s="788"/>
      <c r="S136" s="788"/>
      <c r="T136" s="788"/>
      <c r="U136" s="787"/>
      <c r="V136" s="788"/>
      <c r="W136" s="788"/>
      <c r="X136" s="788"/>
      <c r="Y136" s="788"/>
      <c r="Z136" s="788"/>
      <c r="AA136" s="788"/>
      <c r="AB136" s="789"/>
    </row>
    <row r="137" spans="1:28" ht="15.75">
      <c r="A137" s="771"/>
      <c r="B137" s="771"/>
      <c r="C137" s="771"/>
      <c r="D137" s="790"/>
      <c r="E137" s="790"/>
      <c r="F137" s="790"/>
      <c r="G137" s="790"/>
      <c r="H137" s="790"/>
      <c r="I137" s="790"/>
      <c r="J137" s="790"/>
      <c r="K137" s="790"/>
      <c r="L137" s="790"/>
      <c r="M137" s="790"/>
      <c r="N137" s="790"/>
      <c r="O137" s="791"/>
      <c r="P137" s="791"/>
      <c r="Q137" s="791"/>
      <c r="R137" s="791"/>
      <c r="S137" s="791"/>
      <c r="T137" s="791"/>
      <c r="U137" s="790"/>
      <c r="V137" s="792"/>
      <c r="W137" s="792"/>
      <c r="X137" s="792"/>
      <c r="Y137" s="792"/>
      <c r="Z137" s="792"/>
      <c r="AA137" s="792"/>
      <c r="AB137" s="792"/>
    </row>
    <row r="138" spans="1:28" ht="15.7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</row>
    <row r="139" spans="1:28" ht="15.7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</row>
    <row r="140" spans="1:28" ht="15.7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</row>
    <row r="141" spans="1:28" ht="15.7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</row>
    <row r="142" spans="1:28" ht="15.7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</row>
    <row r="143" spans="1:28" ht="15.7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</row>
    <row r="144" spans="1:28" ht="15.7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</row>
    <row r="145" spans="1:28" ht="15.7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</row>
    <row r="146" spans="1:28" ht="15.7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</row>
    <row r="147" spans="1:28" ht="15.7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</row>
    <row r="148" spans="1:28" ht="15.7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</row>
    <row r="149" spans="1:28" ht="15.7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</row>
    <row r="150" spans="1:28" ht="15.7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</row>
    <row r="151" spans="1:28" ht="15.7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</row>
    <row r="152" spans="1:28" ht="15.7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</row>
    <row r="153" spans="1:28" ht="15.7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</row>
    <row r="154" spans="1:28" ht="15.7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</row>
    <row r="155" spans="1:28" ht="15.7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</row>
    <row r="156" spans="1:28" ht="15.7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</row>
    <row r="157" spans="1:28" ht="15.7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</row>
    <row r="158" spans="1:28" ht="15.7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</row>
    <row r="159" spans="1:28" ht="15.7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</row>
    <row r="160" spans="1:28" ht="15.7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</row>
    <row r="161" spans="1:28" ht="15.7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</row>
    <row r="162" spans="1:28" ht="15.7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</row>
    <row r="163" spans="1:28" ht="15.7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</row>
    <row r="164" spans="1:28" ht="15.7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</row>
    <row r="165" spans="1:28" ht="15.7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</row>
    <row r="166" spans="1:28" ht="15.7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</row>
    <row r="167" spans="1:28" ht="15.7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</row>
  </sheetData>
  <mergeCells count="47">
    <mergeCell ref="A5:AB5"/>
    <mergeCell ref="A1:F1"/>
    <mergeCell ref="Y1:AB1"/>
    <mergeCell ref="A2:B2"/>
    <mergeCell ref="A3:AB3"/>
    <mergeCell ref="A4:AB4"/>
    <mergeCell ref="A7:A10"/>
    <mergeCell ref="B7:B10"/>
    <mergeCell ref="J7:N7"/>
    <mergeCell ref="O7:S7"/>
    <mergeCell ref="D8:D10"/>
    <mergeCell ref="E8:H8"/>
    <mergeCell ref="L9:L10"/>
    <mergeCell ref="M9:M10"/>
    <mergeCell ref="N9:N10"/>
    <mergeCell ref="P9:P10"/>
    <mergeCell ref="O8:O10"/>
    <mergeCell ref="P8:S8"/>
    <mergeCell ref="C7:I7"/>
    <mergeCell ref="Z6:AB6"/>
    <mergeCell ref="T7:AA7"/>
    <mergeCell ref="AB7:AB10"/>
    <mergeCell ref="A12:AB12"/>
    <mergeCell ref="V8:V10"/>
    <mergeCell ref="W8:W10"/>
    <mergeCell ref="X8:X10"/>
    <mergeCell ref="Y8:Y10"/>
    <mergeCell ref="Z8:AA8"/>
    <mergeCell ref="E9:E10"/>
    <mergeCell ref="F9:F10"/>
    <mergeCell ref="G9:G10"/>
    <mergeCell ref="H9:H10"/>
    <mergeCell ref="K9:K10"/>
    <mergeCell ref="J8:J10"/>
    <mergeCell ref="K8:N8"/>
    <mergeCell ref="B93:E93"/>
    <mergeCell ref="F93:R93"/>
    <mergeCell ref="AA9:AA10"/>
    <mergeCell ref="U8:U10"/>
    <mergeCell ref="B91:D91"/>
    <mergeCell ref="AA91:AB91"/>
    <mergeCell ref="B92:AB92"/>
    <mergeCell ref="T8:T10"/>
    <mergeCell ref="Q9:Q10"/>
    <mergeCell ref="R9:R10"/>
    <mergeCell ref="S9:S10"/>
    <mergeCell ref="Z9:Z10"/>
  </mergeCells>
  <pageMargins left="0" right="0" top="0.25" bottom="0.2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50"/>
  <sheetViews>
    <sheetView topLeftCell="A13" workbookViewId="0">
      <selection activeCell="G25" sqref="G25"/>
    </sheetView>
  </sheetViews>
  <sheetFormatPr defaultColWidth="9" defaultRowHeight="15.75"/>
  <cols>
    <col min="1" max="1" width="3.109375" style="18" customWidth="1"/>
    <col min="2" max="2" width="26.5546875" style="18" customWidth="1"/>
    <col min="3" max="3" width="15.21875" style="18" customWidth="1"/>
    <col min="4" max="4" width="20.5546875" style="18" customWidth="1"/>
    <col min="5" max="6" width="17.77734375" style="18" customWidth="1"/>
    <col min="7" max="7" width="19.21875" style="18" customWidth="1"/>
    <col min="8" max="8" width="20.109375" style="22" customWidth="1"/>
    <col min="9" max="16384" width="9" style="24"/>
  </cols>
  <sheetData>
    <row r="1" spans="1:9" ht="24.75" customHeight="1">
      <c r="A1" s="861" t="s">
        <v>49</v>
      </c>
      <c r="B1" s="861"/>
      <c r="C1" s="44"/>
      <c r="D1" s="49"/>
      <c r="E1" s="163" t="s">
        <v>33</v>
      </c>
      <c r="F1" s="49"/>
      <c r="H1" s="49"/>
    </row>
    <row r="2" spans="1:9">
      <c r="A2" s="228" t="s">
        <v>39</v>
      </c>
      <c r="B2" s="228"/>
      <c r="C2" s="85"/>
    </row>
    <row r="3" spans="1:9">
      <c r="A3" s="86"/>
      <c r="B3" s="86"/>
      <c r="C3" s="85"/>
    </row>
    <row r="4" spans="1:9" ht="24" customHeight="1">
      <c r="A4" s="929" t="s">
        <v>217</v>
      </c>
      <c r="B4" s="929"/>
      <c r="C4" s="929"/>
      <c r="D4" s="929"/>
      <c r="E4" s="929"/>
      <c r="F4" s="51"/>
      <c r="G4" s="53"/>
      <c r="H4" s="53"/>
    </row>
    <row r="5" spans="1:9">
      <c r="A5" s="845" t="s">
        <v>160</v>
      </c>
      <c r="B5" s="845"/>
      <c r="C5" s="845"/>
      <c r="D5" s="845"/>
      <c r="E5" s="845"/>
      <c r="F5" s="47"/>
    </row>
    <row r="6" spans="1:9">
      <c r="A6" s="513"/>
      <c r="B6" s="513"/>
      <c r="C6" s="513"/>
      <c r="D6" s="513"/>
      <c r="E6" s="513"/>
      <c r="F6" s="47"/>
    </row>
    <row r="7" spans="1:9">
      <c r="D7" s="930" t="s">
        <v>40</v>
      </c>
      <c r="E7" s="930"/>
      <c r="F7" s="63"/>
      <c r="G7" s="54"/>
      <c r="H7" s="55"/>
      <c r="I7" s="107"/>
    </row>
    <row r="8" spans="1:9" ht="24.95" customHeight="1">
      <c r="A8" s="927" t="s">
        <v>19</v>
      </c>
      <c r="B8" s="921" t="s">
        <v>95</v>
      </c>
      <c r="C8" s="921" t="s">
        <v>43</v>
      </c>
      <c r="D8" s="923" t="s">
        <v>22</v>
      </c>
      <c r="E8" s="921" t="s">
        <v>23</v>
      </c>
      <c r="F8" s="64"/>
      <c r="G8" s="925"/>
      <c r="H8" s="925"/>
      <c r="I8" s="107"/>
    </row>
    <row r="9" spans="1:9" ht="24.95" customHeight="1">
      <c r="A9" s="927"/>
      <c r="B9" s="928"/>
      <c r="C9" s="922"/>
      <c r="D9" s="924"/>
      <c r="E9" s="922"/>
      <c r="F9" s="64"/>
      <c r="G9" s="925"/>
      <c r="H9" s="926"/>
      <c r="I9" s="107"/>
    </row>
    <row r="10" spans="1:9" s="173" customFormat="1" ht="24.95" customHeight="1">
      <c r="A10" s="174"/>
      <c r="B10" s="229" t="s">
        <v>42</v>
      </c>
      <c r="C10" s="183"/>
      <c r="D10" s="175"/>
      <c r="E10" s="175"/>
      <c r="F10" s="171"/>
      <c r="G10" s="171"/>
      <c r="H10" s="171"/>
      <c r="I10" s="172"/>
    </row>
    <row r="11" spans="1:9" s="173" customFormat="1" ht="24.95" customHeight="1">
      <c r="A11" s="174">
        <v>1</v>
      </c>
      <c r="B11" s="794" t="s">
        <v>427</v>
      </c>
      <c r="C11" s="175">
        <v>6</v>
      </c>
      <c r="D11" s="175">
        <v>60000000</v>
      </c>
      <c r="E11" s="175">
        <f>D11</f>
        <v>60000000</v>
      </c>
      <c r="F11" s="171"/>
      <c r="G11" s="171"/>
      <c r="H11" s="171"/>
      <c r="I11" s="172"/>
    </row>
    <row r="12" spans="1:9" s="173" customFormat="1" ht="24.95" customHeight="1">
      <c r="A12" s="174">
        <v>2</v>
      </c>
      <c r="B12" s="794" t="s">
        <v>428</v>
      </c>
      <c r="C12" s="175">
        <v>5</v>
      </c>
      <c r="D12" s="175">
        <v>60000000</v>
      </c>
      <c r="E12" s="175">
        <f t="shared" ref="E12:E26" si="0">D12</f>
        <v>60000000</v>
      </c>
      <c r="F12" s="171"/>
      <c r="G12" s="171"/>
      <c r="H12" s="171"/>
      <c r="I12" s="172"/>
    </row>
    <row r="13" spans="1:9" s="173" customFormat="1" ht="24.95" customHeight="1">
      <c r="A13" s="174">
        <v>3</v>
      </c>
      <c r="B13" s="794" t="s">
        <v>429</v>
      </c>
      <c r="C13" s="175">
        <v>5</v>
      </c>
      <c r="D13" s="175">
        <v>60000000</v>
      </c>
      <c r="E13" s="175">
        <f t="shared" si="0"/>
        <v>60000000</v>
      </c>
      <c r="F13" s="171"/>
      <c r="G13" s="171"/>
      <c r="H13" s="171"/>
      <c r="I13" s="172"/>
    </row>
    <row r="14" spans="1:9" s="173" customFormat="1" ht="24.95" customHeight="1">
      <c r="A14" s="174">
        <v>4</v>
      </c>
      <c r="B14" s="794" t="s">
        <v>430</v>
      </c>
      <c r="C14" s="175">
        <v>6</v>
      </c>
      <c r="D14" s="175">
        <v>60000000</v>
      </c>
      <c r="E14" s="175">
        <f t="shared" si="0"/>
        <v>60000000</v>
      </c>
      <c r="F14" s="171"/>
      <c r="G14" s="171"/>
      <c r="H14" s="171"/>
      <c r="I14" s="172"/>
    </row>
    <row r="15" spans="1:9" s="173" customFormat="1" ht="24.95" customHeight="1">
      <c r="A15" s="174">
        <v>5</v>
      </c>
      <c r="B15" s="796" t="s">
        <v>431</v>
      </c>
      <c r="C15" s="175">
        <v>7</v>
      </c>
      <c r="D15" s="175">
        <v>60000000</v>
      </c>
      <c r="E15" s="175">
        <f t="shared" si="0"/>
        <v>60000000</v>
      </c>
      <c r="F15" s="171"/>
      <c r="G15" s="171"/>
      <c r="H15" s="171"/>
      <c r="I15" s="172"/>
    </row>
    <row r="16" spans="1:9" s="173" customFormat="1" ht="24.95" customHeight="1">
      <c r="A16" s="174">
        <v>6</v>
      </c>
      <c r="B16" s="797" t="s">
        <v>432</v>
      </c>
      <c r="C16" s="175">
        <v>5</v>
      </c>
      <c r="D16" s="175">
        <v>60000000</v>
      </c>
      <c r="E16" s="175">
        <f t="shared" si="0"/>
        <v>60000000</v>
      </c>
      <c r="F16" s="171"/>
      <c r="G16" s="171"/>
      <c r="H16" s="171"/>
      <c r="I16" s="172"/>
    </row>
    <row r="17" spans="1:9" s="173" customFormat="1" ht="24.95" customHeight="1">
      <c r="A17" s="174">
        <v>7</v>
      </c>
      <c r="B17" s="797" t="s">
        <v>433</v>
      </c>
      <c r="C17" s="175">
        <v>6</v>
      </c>
      <c r="D17" s="175">
        <v>60000000</v>
      </c>
      <c r="E17" s="175">
        <f t="shared" si="0"/>
        <v>60000000</v>
      </c>
      <c r="F17" s="171"/>
      <c r="G17" s="171"/>
      <c r="H17" s="171"/>
      <c r="I17" s="172"/>
    </row>
    <row r="18" spans="1:9" s="173" customFormat="1" ht="24.95" customHeight="1">
      <c r="A18" s="174">
        <v>8</v>
      </c>
      <c r="B18" s="797" t="s">
        <v>434</v>
      </c>
      <c r="C18" s="175">
        <v>7</v>
      </c>
      <c r="D18" s="175">
        <v>60000000</v>
      </c>
      <c r="E18" s="175">
        <f t="shared" si="0"/>
        <v>60000000</v>
      </c>
      <c r="F18" s="171"/>
      <c r="G18" s="171"/>
      <c r="H18" s="171"/>
      <c r="I18" s="172"/>
    </row>
    <row r="19" spans="1:9" s="173" customFormat="1" ht="24.95" customHeight="1">
      <c r="A19" s="174">
        <v>9</v>
      </c>
      <c r="B19" s="797" t="s">
        <v>435</v>
      </c>
      <c r="C19" s="175">
        <v>6</v>
      </c>
      <c r="D19" s="175">
        <v>60000000</v>
      </c>
      <c r="E19" s="175">
        <f t="shared" si="0"/>
        <v>60000000</v>
      </c>
      <c r="F19" s="171"/>
      <c r="G19" s="171"/>
      <c r="H19" s="171"/>
      <c r="I19" s="172"/>
    </row>
    <row r="20" spans="1:9" s="40" customFormat="1" ht="24.95" customHeight="1">
      <c r="A20" s="174">
        <v>10</v>
      </c>
      <c r="B20" s="797" t="s">
        <v>436</v>
      </c>
      <c r="C20" s="41">
        <v>6</v>
      </c>
      <c r="D20" s="175">
        <v>60000000</v>
      </c>
      <c r="E20" s="175">
        <f t="shared" si="0"/>
        <v>60000000</v>
      </c>
      <c r="F20" s="66"/>
      <c r="G20" s="66"/>
      <c r="H20" s="66"/>
      <c r="I20" s="65"/>
    </row>
    <row r="21" spans="1:9" s="40" customFormat="1" ht="18.75">
      <c r="A21" s="174">
        <v>11</v>
      </c>
      <c r="B21" s="797" t="s">
        <v>437</v>
      </c>
      <c r="C21" s="804">
        <v>6</v>
      </c>
      <c r="D21" s="175">
        <v>60000000</v>
      </c>
      <c r="E21" s="175">
        <f t="shared" si="0"/>
        <v>60000000</v>
      </c>
      <c r="F21" s="67"/>
      <c r="G21" s="67"/>
      <c r="H21" s="67"/>
      <c r="I21" s="65"/>
    </row>
    <row r="22" spans="1:9" ht="18.75">
      <c r="A22" s="174">
        <v>12</v>
      </c>
      <c r="B22" s="797" t="s">
        <v>438</v>
      </c>
      <c r="C22" s="807">
        <v>6</v>
      </c>
      <c r="D22" s="175">
        <v>60000000</v>
      </c>
      <c r="E22" s="175">
        <f t="shared" si="0"/>
        <v>60000000</v>
      </c>
      <c r="F22" s="30"/>
      <c r="G22" s="30"/>
      <c r="H22" s="34"/>
    </row>
    <row r="23" spans="1:9" ht="18.75">
      <c r="A23" s="174">
        <v>13</v>
      </c>
      <c r="B23" s="800" t="s">
        <v>439</v>
      </c>
      <c r="C23" s="807">
        <v>7</v>
      </c>
      <c r="D23" s="175">
        <v>60000000</v>
      </c>
      <c r="E23" s="175">
        <f t="shared" si="0"/>
        <v>60000000</v>
      </c>
    </row>
    <row r="24" spans="1:9" ht="18.75">
      <c r="A24" s="174">
        <v>14</v>
      </c>
      <c r="B24" s="797" t="s">
        <v>440</v>
      </c>
      <c r="C24" s="804">
        <v>7</v>
      </c>
      <c r="D24" s="175">
        <v>60000000</v>
      </c>
      <c r="E24" s="175">
        <f t="shared" si="0"/>
        <v>60000000</v>
      </c>
    </row>
    <row r="25" spans="1:9" ht="18.75">
      <c r="A25" s="174">
        <v>15</v>
      </c>
      <c r="B25" s="797" t="s">
        <v>441</v>
      </c>
      <c r="C25" s="804">
        <v>6</v>
      </c>
      <c r="D25" s="175">
        <v>60000000</v>
      </c>
      <c r="E25" s="175">
        <f t="shared" si="0"/>
        <v>60000000</v>
      </c>
    </row>
    <row r="26" spans="1:9" ht="18.75">
      <c r="A26" s="174">
        <v>16</v>
      </c>
      <c r="B26" s="797" t="s">
        <v>442</v>
      </c>
      <c r="C26" s="804">
        <v>7</v>
      </c>
      <c r="D26" s="175">
        <v>60000000</v>
      </c>
      <c r="E26" s="175">
        <f t="shared" si="0"/>
        <v>60000000</v>
      </c>
    </row>
    <row r="27" spans="1:9" ht="18.75">
      <c r="B27" s="806" t="s">
        <v>10</v>
      </c>
      <c r="C27" s="807">
        <f>SUM(C11:C26)</f>
        <v>98</v>
      </c>
      <c r="D27" s="805"/>
      <c r="E27" s="805">
        <f>SUM(E11:E26)</f>
        <v>960000000</v>
      </c>
    </row>
    <row r="28" spans="1:9" ht="18.75">
      <c r="A28" s="1291" t="s">
        <v>495</v>
      </c>
      <c r="B28" s="1291"/>
      <c r="C28" s="1291"/>
      <c r="D28" s="1291"/>
      <c r="E28" s="1291"/>
    </row>
    <row r="31" spans="1:9">
      <c r="A31" s="23"/>
    </row>
    <row r="32" spans="1:9" ht="16.5">
      <c r="C32" s="920"/>
      <c r="D32" s="920"/>
      <c r="E32" s="920"/>
      <c r="F32" s="920"/>
      <c r="G32" s="920"/>
      <c r="H32" s="920"/>
    </row>
    <row r="33" spans="1:9">
      <c r="C33" s="39"/>
      <c r="D33" s="37"/>
      <c r="E33" s="37"/>
      <c r="F33" s="37"/>
      <c r="G33" s="37"/>
      <c r="H33" s="50"/>
    </row>
    <row r="34" spans="1:9">
      <c r="B34" s="917"/>
      <c r="C34" s="918"/>
    </row>
    <row r="35" spans="1:9">
      <c r="A35" s="25"/>
      <c r="B35" s="25"/>
      <c r="C35" s="25"/>
      <c r="D35" s="54"/>
      <c r="E35" s="54"/>
      <c r="F35" s="54"/>
      <c r="G35" s="54"/>
      <c r="H35" s="55"/>
      <c r="I35" s="107"/>
    </row>
    <row r="36" spans="1:9" ht="15.75" customHeight="1">
      <c r="A36" s="919"/>
      <c r="B36" s="913"/>
      <c r="C36" s="913"/>
      <c r="D36" s="913"/>
      <c r="E36" s="88"/>
      <c r="F36" s="88"/>
      <c r="G36" s="88"/>
      <c r="H36" s="915"/>
      <c r="I36" s="107"/>
    </row>
    <row r="37" spans="1:9" ht="15">
      <c r="A37" s="919"/>
      <c r="B37" s="914"/>
      <c r="C37" s="913"/>
      <c r="D37" s="914"/>
      <c r="E37" s="89"/>
      <c r="F37" s="89"/>
      <c r="G37" s="88"/>
      <c r="H37" s="916"/>
      <c r="I37" s="107"/>
    </row>
    <row r="38" spans="1:9">
      <c r="A38" s="87"/>
      <c r="B38" s="56"/>
      <c r="C38" s="57"/>
      <c r="D38" s="57"/>
      <c r="E38" s="57"/>
      <c r="F38" s="57"/>
      <c r="G38" s="57"/>
      <c r="H38" s="57"/>
      <c r="I38" s="107"/>
    </row>
    <row r="39" spans="1:9">
      <c r="A39" s="87"/>
      <c r="B39" s="56"/>
      <c r="C39" s="57"/>
      <c r="D39" s="57"/>
      <c r="E39" s="57"/>
      <c r="F39" s="57"/>
      <c r="G39" s="57"/>
      <c r="H39" s="57"/>
      <c r="I39" s="107"/>
    </row>
    <row r="40" spans="1:9">
      <c r="A40" s="87"/>
      <c r="B40" s="56"/>
      <c r="C40" s="57"/>
      <c r="D40" s="57"/>
      <c r="E40" s="57"/>
      <c r="F40" s="57"/>
      <c r="G40" s="57"/>
      <c r="H40" s="57"/>
      <c r="I40" s="107"/>
    </row>
    <row r="41" spans="1:9">
      <c r="A41" s="87"/>
      <c r="B41" s="56"/>
      <c r="C41" s="57"/>
      <c r="D41" s="57"/>
      <c r="E41" s="57"/>
      <c r="F41" s="57"/>
      <c r="G41" s="57"/>
      <c r="H41" s="57"/>
      <c r="I41" s="107"/>
    </row>
    <row r="42" spans="1:9">
      <c r="A42" s="87"/>
      <c r="B42" s="56"/>
      <c r="C42" s="57"/>
      <c r="D42" s="57"/>
      <c r="E42" s="57"/>
      <c r="F42" s="57"/>
      <c r="G42" s="57"/>
      <c r="H42" s="57"/>
      <c r="I42" s="107"/>
    </row>
    <row r="43" spans="1:9">
      <c r="A43" s="87"/>
      <c r="B43" s="56"/>
      <c r="C43" s="57"/>
      <c r="D43" s="57"/>
      <c r="E43" s="57"/>
      <c r="F43" s="57"/>
      <c r="G43" s="57"/>
      <c r="H43" s="57"/>
      <c r="I43" s="107"/>
    </row>
    <row r="44" spans="1:9">
      <c r="A44" s="87"/>
      <c r="B44" s="56"/>
      <c r="C44" s="57"/>
      <c r="D44" s="57"/>
      <c r="E44" s="57"/>
      <c r="F44" s="57"/>
      <c r="G44" s="57"/>
      <c r="H44" s="57"/>
      <c r="I44" s="107"/>
    </row>
    <row r="45" spans="1:9">
      <c r="A45" s="87"/>
      <c r="B45" s="56"/>
      <c r="C45" s="57"/>
      <c r="D45" s="57"/>
      <c r="E45" s="57"/>
      <c r="F45" s="57"/>
      <c r="G45" s="57"/>
      <c r="H45" s="57"/>
      <c r="I45" s="107"/>
    </row>
    <row r="46" spans="1:9">
      <c r="A46" s="87"/>
      <c r="B46" s="56"/>
      <c r="C46" s="57"/>
      <c r="D46" s="57"/>
      <c r="E46" s="57"/>
      <c r="F46" s="57"/>
      <c r="G46" s="57"/>
      <c r="H46" s="57"/>
      <c r="I46" s="107"/>
    </row>
    <row r="47" spans="1:9">
      <c r="A47" s="87"/>
      <c r="B47" s="56"/>
      <c r="C47" s="57"/>
      <c r="D47" s="57"/>
      <c r="E47" s="57"/>
      <c r="F47" s="57"/>
      <c r="G47" s="57"/>
      <c r="H47" s="57"/>
      <c r="I47" s="107"/>
    </row>
    <row r="48" spans="1:9">
      <c r="A48" s="58"/>
      <c r="B48" s="59"/>
      <c r="C48" s="60"/>
      <c r="D48" s="60"/>
      <c r="E48" s="60"/>
      <c r="F48" s="60"/>
      <c r="G48" s="60"/>
      <c r="H48" s="60"/>
      <c r="I48" s="107"/>
    </row>
    <row r="49" spans="1:9">
      <c r="A49" s="25"/>
      <c r="B49" s="61"/>
      <c r="C49" s="25"/>
      <c r="D49" s="62"/>
      <c r="E49" s="62"/>
      <c r="F49" s="62"/>
      <c r="G49" s="62"/>
      <c r="H49" s="55"/>
      <c r="I49" s="107"/>
    </row>
    <row r="50" spans="1:9">
      <c r="C50" s="30"/>
      <c r="D50" s="30"/>
      <c r="E50" s="30"/>
      <c r="F50" s="30"/>
      <c r="G50" s="30"/>
      <c r="H50" s="34"/>
    </row>
  </sheetData>
  <mergeCells count="19">
    <mergeCell ref="A1:B1"/>
    <mergeCell ref="A8:A9"/>
    <mergeCell ref="B8:B9"/>
    <mergeCell ref="C8:C9"/>
    <mergeCell ref="A4:E4"/>
    <mergeCell ref="D7:E7"/>
    <mergeCell ref="A5:E5"/>
    <mergeCell ref="C32:H32"/>
    <mergeCell ref="E8:E9"/>
    <mergeCell ref="D8:D9"/>
    <mergeCell ref="G8:G9"/>
    <mergeCell ref="H8:H9"/>
    <mergeCell ref="A28:E28"/>
    <mergeCell ref="D36:D37"/>
    <mergeCell ref="H36:H37"/>
    <mergeCell ref="B34:C34"/>
    <mergeCell ref="A36:A37"/>
    <mergeCell ref="B36:B37"/>
    <mergeCell ref="C36:C37"/>
  </mergeCells>
  <phoneticPr fontId="17" type="noConversion"/>
  <pageMargins left="0" right="0" top="0.25" bottom="0.25" header="0.511811023622047" footer="0.511811023622047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03"/>
  <sheetViews>
    <sheetView topLeftCell="A6" workbookViewId="0">
      <selection activeCell="O22" sqref="O22"/>
    </sheetView>
  </sheetViews>
  <sheetFormatPr defaultColWidth="9" defaultRowHeight="15"/>
  <cols>
    <col min="1" max="1" width="5.44140625" style="84" customWidth="1"/>
    <col min="2" max="2" width="27" style="84" customWidth="1"/>
    <col min="3" max="3" width="6.5546875" style="84" hidden="1" customWidth="1"/>
    <col min="4" max="4" width="0.21875" style="84" hidden="1" customWidth="1"/>
    <col min="5" max="5" width="9" style="84" customWidth="1"/>
    <col min="6" max="6" width="7.77734375" style="84" customWidth="1"/>
    <col min="7" max="7" width="9.44140625" style="84" customWidth="1"/>
    <col min="8" max="8" width="15.44140625" style="139" customWidth="1"/>
    <col min="9" max="9" width="15.77734375" style="139" customWidth="1"/>
    <col min="10" max="10" width="14.109375" style="139" customWidth="1"/>
    <col min="11" max="11" width="0" style="139" hidden="1" customWidth="1"/>
    <col min="12" max="12" width="15.77734375" style="139" customWidth="1"/>
    <col min="13" max="13" width="9" style="84"/>
    <col min="14" max="14" width="10.33203125" style="84" customWidth="1"/>
    <col min="15" max="16384" width="9" style="84"/>
  </cols>
  <sheetData>
    <row r="1" spans="1:12" ht="23.25" customHeight="1">
      <c r="A1" s="1173" t="s">
        <v>49</v>
      </c>
      <c r="B1" s="1266"/>
      <c r="C1" s="1"/>
      <c r="D1" s="2"/>
      <c r="E1" s="2"/>
      <c r="F1" s="2"/>
      <c r="G1" s="2"/>
      <c r="H1" s="2"/>
      <c r="I1" s="2"/>
      <c r="J1" s="936" t="s">
        <v>33</v>
      </c>
      <c r="K1" s="937"/>
      <c r="L1" s="937"/>
    </row>
    <row r="2" spans="1:12" ht="15.75">
      <c r="A2" s="940" t="s">
        <v>496</v>
      </c>
      <c r="B2" s="940"/>
      <c r="C2" s="1"/>
      <c r="D2" s="2"/>
      <c r="E2" s="2"/>
      <c r="F2" s="2"/>
      <c r="G2" s="2"/>
      <c r="H2" s="2"/>
      <c r="I2" s="2"/>
      <c r="J2" s="42"/>
      <c r="K2" s="43"/>
      <c r="L2" s="43"/>
    </row>
    <row r="3" spans="1:12">
      <c r="A3" s="939"/>
      <c r="B3" s="939"/>
      <c r="C3" s="90"/>
      <c r="D3" s="2"/>
      <c r="E3" s="2"/>
      <c r="F3" s="2"/>
      <c r="G3" s="2"/>
      <c r="H3" s="2"/>
      <c r="I3" s="2"/>
      <c r="J3" s="2"/>
      <c r="K3" s="2"/>
    </row>
    <row r="4" spans="1:12" ht="18.75">
      <c r="A4" s="841" t="s">
        <v>168</v>
      </c>
      <c r="B4" s="938"/>
      <c r="C4" s="938"/>
      <c r="D4" s="938"/>
      <c r="E4" s="938"/>
      <c r="F4" s="938"/>
      <c r="G4" s="938"/>
      <c r="H4" s="938"/>
      <c r="I4" s="938"/>
      <c r="J4" s="938"/>
      <c r="K4" s="938"/>
      <c r="L4" s="938"/>
    </row>
    <row r="5" spans="1:12">
      <c r="A5" s="4"/>
      <c r="B5" s="5"/>
      <c r="C5" s="2"/>
      <c r="D5" s="2"/>
      <c r="E5" s="2"/>
      <c r="F5" s="2"/>
      <c r="G5" s="2"/>
      <c r="H5" s="2"/>
      <c r="I5" s="868" t="s">
        <v>18</v>
      </c>
      <c r="J5" s="931"/>
      <c r="K5" s="931"/>
      <c r="L5" s="931"/>
    </row>
    <row r="6" spans="1:12" ht="37.5" customHeight="1">
      <c r="A6" s="29" t="s">
        <v>12</v>
      </c>
      <c r="B6" s="29" t="s">
        <v>50</v>
      </c>
      <c r="C6" s="17"/>
      <c r="D6" s="108"/>
      <c r="E6" s="29" t="s">
        <v>0</v>
      </c>
      <c r="F6" s="29" t="s">
        <v>1</v>
      </c>
      <c r="G6" s="29" t="s">
        <v>2</v>
      </c>
      <c r="H6" s="29" t="s">
        <v>24</v>
      </c>
      <c r="I6" s="29" t="s">
        <v>25</v>
      </c>
      <c r="J6" s="29" t="s">
        <v>26</v>
      </c>
      <c r="K6" s="17"/>
      <c r="L6" s="29" t="s">
        <v>169</v>
      </c>
    </row>
    <row r="7" spans="1:12" ht="15.75" customHeight="1">
      <c r="A7" s="1292">
        <v>1</v>
      </c>
      <c r="B7" s="1292">
        <v>2</v>
      </c>
      <c r="C7" s="1292">
        <v>6</v>
      </c>
      <c r="D7" s="1292">
        <v>3</v>
      </c>
      <c r="E7" s="1292">
        <v>3</v>
      </c>
      <c r="F7" s="1292">
        <v>4</v>
      </c>
      <c r="G7" s="1292">
        <v>5</v>
      </c>
      <c r="H7" s="1292">
        <v>6</v>
      </c>
      <c r="I7" s="1292">
        <v>7</v>
      </c>
      <c r="J7" s="1292">
        <v>8</v>
      </c>
      <c r="K7" s="1292">
        <v>8</v>
      </c>
      <c r="L7" s="1292">
        <v>9</v>
      </c>
    </row>
    <row r="8" spans="1:12" ht="20.100000000000001" customHeight="1">
      <c r="A8" s="141">
        <v>1</v>
      </c>
      <c r="B8" s="794" t="s">
        <v>427</v>
      </c>
      <c r="C8" s="795">
        <v>251</v>
      </c>
      <c r="D8" s="795">
        <v>104</v>
      </c>
      <c r="E8" s="795">
        <v>251</v>
      </c>
      <c r="F8" s="795">
        <v>104</v>
      </c>
      <c r="G8" s="795">
        <v>10</v>
      </c>
      <c r="H8" s="1293">
        <f>E8*18750</f>
        <v>4706250</v>
      </c>
      <c r="I8" s="1293">
        <f>F8*47500</f>
        <v>4940000</v>
      </c>
      <c r="J8" s="1293">
        <f>G8*60000</f>
        <v>600000</v>
      </c>
      <c r="K8" s="793"/>
      <c r="L8" s="793">
        <f>H8+I8+J8</f>
        <v>10246250</v>
      </c>
    </row>
    <row r="9" spans="1:12" ht="20.100000000000001" customHeight="1">
      <c r="A9" s="180">
        <v>2</v>
      </c>
      <c r="B9" s="794" t="s">
        <v>428</v>
      </c>
      <c r="C9" s="795">
        <v>251</v>
      </c>
      <c r="D9" s="795">
        <v>104</v>
      </c>
      <c r="E9" s="795">
        <v>251</v>
      </c>
      <c r="F9" s="795">
        <v>104</v>
      </c>
      <c r="G9" s="795">
        <v>10</v>
      </c>
      <c r="H9" s="1293">
        <f t="shared" ref="H9:H23" si="0">E9*18750</f>
        <v>4706250</v>
      </c>
      <c r="I9" s="1293">
        <f t="shared" ref="I9:I23" si="1">F9*47500</f>
        <v>4940000</v>
      </c>
      <c r="J9" s="1293">
        <f t="shared" ref="J9:J23" si="2">G9*60000</f>
        <v>600000</v>
      </c>
      <c r="K9" s="793"/>
      <c r="L9" s="793">
        <f t="shared" ref="L9:L24" si="3">H9+I9+J9</f>
        <v>10246250</v>
      </c>
    </row>
    <row r="10" spans="1:12" ht="20.100000000000001" customHeight="1">
      <c r="A10" s="141">
        <v>3</v>
      </c>
      <c r="B10" s="794" t="s">
        <v>429</v>
      </c>
      <c r="C10" s="795">
        <v>251</v>
      </c>
      <c r="D10" s="795">
        <v>104</v>
      </c>
      <c r="E10" s="795">
        <v>251</v>
      </c>
      <c r="F10" s="795">
        <v>104</v>
      </c>
      <c r="G10" s="795">
        <v>10</v>
      </c>
      <c r="H10" s="1293">
        <f t="shared" si="0"/>
        <v>4706250</v>
      </c>
      <c r="I10" s="1293">
        <f t="shared" si="1"/>
        <v>4940000</v>
      </c>
      <c r="J10" s="1293">
        <f t="shared" si="2"/>
        <v>600000</v>
      </c>
      <c r="K10" s="793"/>
      <c r="L10" s="793">
        <f t="shared" si="3"/>
        <v>10246250</v>
      </c>
    </row>
    <row r="11" spans="1:12" ht="20.100000000000001" customHeight="1">
      <c r="A11" s="180">
        <v>4</v>
      </c>
      <c r="B11" s="794" t="s">
        <v>430</v>
      </c>
      <c r="C11" s="795">
        <v>251</v>
      </c>
      <c r="D11" s="795">
        <v>104</v>
      </c>
      <c r="E11" s="795">
        <v>251</v>
      </c>
      <c r="F11" s="795">
        <v>104</v>
      </c>
      <c r="G11" s="795">
        <v>10</v>
      </c>
      <c r="H11" s="1293">
        <f t="shared" si="0"/>
        <v>4706250</v>
      </c>
      <c r="I11" s="1293">
        <f t="shared" si="1"/>
        <v>4940000</v>
      </c>
      <c r="J11" s="1293">
        <f t="shared" si="2"/>
        <v>600000</v>
      </c>
      <c r="K11" s="793"/>
      <c r="L11" s="793">
        <f t="shared" si="3"/>
        <v>10246250</v>
      </c>
    </row>
    <row r="12" spans="1:12" ht="20.100000000000001" customHeight="1">
      <c r="A12" s="141">
        <v>5</v>
      </c>
      <c r="B12" s="796" t="s">
        <v>431</v>
      </c>
      <c r="C12" s="795">
        <v>251</v>
      </c>
      <c r="D12" s="795">
        <v>104</v>
      </c>
      <c r="E12" s="795">
        <v>251</v>
      </c>
      <c r="F12" s="795">
        <v>104</v>
      </c>
      <c r="G12" s="795">
        <v>10</v>
      </c>
      <c r="H12" s="1293">
        <f t="shared" si="0"/>
        <v>4706250</v>
      </c>
      <c r="I12" s="1293">
        <f t="shared" si="1"/>
        <v>4940000</v>
      </c>
      <c r="J12" s="1293">
        <f t="shared" si="2"/>
        <v>600000</v>
      </c>
      <c r="K12" s="793"/>
      <c r="L12" s="793">
        <f t="shared" si="3"/>
        <v>10246250</v>
      </c>
    </row>
    <row r="13" spans="1:12" ht="20.100000000000001" customHeight="1">
      <c r="A13" s="180">
        <v>6</v>
      </c>
      <c r="B13" s="797" t="s">
        <v>432</v>
      </c>
      <c r="C13" s="795">
        <v>251</v>
      </c>
      <c r="D13" s="795">
        <v>104</v>
      </c>
      <c r="E13" s="795">
        <v>251</v>
      </c>
      <c r="F13" s="795">
        <v>104</v>
      </c>
      <c r="G13" s="795">
        <v>10</v>
      </c>
      <c r="H13" s="1293">
        <f t="shared" si="0"/>
        <v>4706250</v>
      </c>
      <c r="I13" s="1293">
        <f t="shared" si="1"/>
        <v>4940000</v>
      </c>
      <c r="J13" s="1293">
        <f t="shared" si="2"/>
        <v>600000</v>
      </c>
      <c r="K13" s="793"/>
      <c r="L13" s="793">
        <f t="shared" si="3"/>
        <v>10246250</v>
      </c>
    </row>
    <row r="14" spans="1:12" ht="20.100000000000001" customHeight="1">
      <c r="A14" s="141">
        <v>7</v>
      </c>
      <c r="B14" s="797" t="s">
        <v>433</v>
      </c>
      <c r="C14" s="795">
        <v>251</v>
      </c>
      <c r="D14" s="795">
        <v>104</v>
      </c>
      <c r="E14" s="795">
        <v>251</v>
      </c>
      <c r="F14" s="795">
        <v>104</v>
      </c>
      <c r="G14" s="795">
        <v>10</v>
      </c>
      <c r="H14" s="1293">
        <f t="shared" si="0"/>
        <v>4706250</v>
      </c>
      <c r="I14" s="1293">
        <f t="shared" si="1"/>
        <v>4940000</v>
      </c>
      <c r="J14" s="1293">
        <f t="shared" si="2"/>
        <v>600000</v>
      </c>
      <c r="K14" s="793"/>
      <c r="L14" s="793">
        <f t="shared" si="3"/>
        <v>10246250</v>
      </c>
    </row>
    <row r="15" spans="1:12" ht="20.100000000000001" customHeight="1">
      <c r="A15" s="180">
        <v>8</v>
      </c>
      <c r="B15" s="797" t="s">
        <v>434</v>
      </c>
      <c r="C15" s="795">
        <v>251</v>
      </c>
      <c r="D15" s="795">
        <v>104</v>
      </c>
      <c r="E15" s="795">
        <v>251</v>
      </c>
      <c r="F15" s="795">
        <v>104</v>
      </c>
      <c r="G15" s="795">
        <v>10</v>
      </c>
      <c r="H15" s="1293">
        <f t="shared" si="0"/>
        <v>4706250</v>
      </c>
      <c r="I15" s="1293">
        <f t="shared" si="1"/>
        <v>4940000</v>
      </c>
      <c r="J15" s="1293">
        <f t="shared" si="2"/>
        <v>600000</v>
      </c>
      <c r="K15" s="793"/>
      <c r="L15" s="793">
        <f t="shared" si="3"/>
        <v>10246250</v>
      </c>
    </row>
    <row r="16" spans="1:12" ht="20.100000000000001" customHeight="1">
      <c r="A16" s="141">
        <v>9</v>
      </c>
      <c r="B16" s="797" t="s">
        <v>435</v>
      </c>
      <c r="C16" s="795">
        <v>251</v>
      </c>
      <c r="D16" s="795">
        <v>104</v>
      </c>
      <c r="E16" s="795">
        <v>251</v>
      </c>
      <c r="F16" s="795">
        <v>104</v>
      </c>
      <c r="G16" s="795">
        <v>10</v>
      </c>
      <c r="H16" s="1293">
        <f t="shared" si="0"/>
        <v>4706250</v>
      </c>
      <c r="I16" s="1293">
        <f t="shared" si="1"/>
        <v>4940000</v>
      </c>
      <c r="J16" s="1293">
        <f t="shared" si="2"/>
        <v>600000</v>
      </c>
      <c r="K16" s="793"/>
      <c r="L16" s="793">
        <f t="shared" si="3"/>
        <v>10246250</v>
      </c>
    </row>
    <row r="17" spans="1:16" ht="20.100000000000001" customHeight="1">
      <c r="A17" s="180">
        <v>10</v>
      </c>
      <c r="B17" s="797" t="s">
        <v>436</v>
      </c>
      <c r="C17" s="795">
        <v>251</v>
      </c>
      <c r="D17" s="795">
        <v>104</v>
      </c>
      <c r="E17" s="795">
        <v>251</v>
      </c>
      <c r="F17" s="795">
        <v>104</v>
      </c>
      <c r="G17" s="795">
        <v>10</v>
      </c>
      <c r="H17" s="1293">
        <f t="shared" si="0"/>
        <v>4706250</v>
      </c>
      <c r="I17" s="1293">
        <f t="shared" si="1"/>
        <v>4940000</v>
      </c>
      <c r="J17" s="1293">
        <f t="shared" si="2"/>
        <v>600000</v>
      </c>
      <c r="K17" s="793"/>
      <c r="L17" s="793">
        <f t="shared" si="3"/>
        <v>10246250</v>
      </c>
    </row>
    <row r="18" spans="1:16" ht="20.100000000000001" customHeight="1">
      <c r="A18" s="141">
        <v>11</v>
      </c>
      <c r="B18" s="797" t="s">
        <v>437</v>
      </c>
      <c r="C18" s="795">
        <v>251</v>
      </c>
      <c r="D18" s="795">
        <v>104</v>
      </c>
      <c r="E18" s="795">
        <v>251</v>
      </c>
      <c r="F18" s="795">
        <v>104</v>
      </c>
      <c r="G18" s="795">
        <v>10</v>
      </c>
      <c r="H18" s="1293">
        <f t="shared" si="0"/>
        <v>4706250</v>
      </c>
      <c r="I18" s="1293">
        <f t="shared" si="1"/>
        <v>4940000</v>
      </c>
      <c r="J18" s="1293">
        <f t="shared" si="2"/>
        <v>600000</v>
      </c>
      <c r="K18" s="793"/>
      <c r="L18" s="793">
        <f t="shared" si="3"/>
        <v>10246250</v>
      </c>
    </row>
    <row r="19" spans="1:16" ht="20.100000000000001" customHeight="1">
      <c r="A19" s="180">
        <v>12</v>
      </c>
      <c r="B19" s="797" t="s">
        <v>438</v>
      </c>
      <c r="C19" s="795">
        <v>251</v>
      </c>
      <c r="D19" s="795">
        <v>104</v>
      </c>
      <c r="E19" s="795">
        <v>251</v>
      </c>
      <c r="F19" s="795">
        <v>104</v>
      </c>
      <c r="G19" s="795">
        <v>10</v>
      </c>
      <c r="H19" s="1293">
        <f t="shared" si="0"/>
        <v>4706250</v>
      </c>
      <c r="I19" s="1293">
        <f t="shared" si="1"/>
        <v>4940000</v>
      </c>
      <c r="J19" s="1293">
        <f t="shared" si="2"/>
        <v>600000</v>
      </c>
      <c r="K19" s="38"/>
      <c r="L19" s="793">
        <f t="shared" si="3"/>
        <v>10246250</v>
      </c>
    </row>
    <row r="20" spans="1:16" ht="20.100000000000001" customHeight="1">
      <c r="A20" s="141">
        <v>13</v>
      </c>
      <c r="B20" s="797" t="s">
        <v>439</v>
      </c>
      <c r="C20" s="798">
        <v>502</v>
      </c>
      <c r="D20" s="799">
        <v>208</v>
      </c>
      <c r="E20" s="798">
        <v>502</v>
      </c>
      <c r="F20" s="799">
        <v>208</v>
      </c>
      <c r="G20" s="799">
        <v>20</v>
      </c>
      <c r="H20" s="1293">
        <f t="shared" si="0"/>
        <v>9412500</v>
      </c>
      <c r="I20" s="1293">
        <f t="shared" si="1"/>
        <v>9880000</v>
      </c>
      <c r="J20" s="1293">
        <f t="shared" si="2"/>
        <v>1200000</v>
      </c>
      <c r="K20" s="181"/>
      <c r="L20" s="793">
        <f t="shared" si="3"/>
        <v>20492500</v>
      </c>
    </row>
    <row r="21" spans="1:16" s="145" customFormat="1" ht="20.100000000000001" customHeight="1">
      <c r="A21" s="180">
        <v>14</v>
      </c>
      <c r="B21" s="797" t="s">
        <v>440</v>
      </c>
      <c r="C21" s="798">
        <v>502</v>
      </c>
      <c r="D21" s="799">
        <v>208</v>
      </c>
      <c r="E21" s="798">
        <v>502</v>
      </c>
      <c r="F21" s="799">
        <v>208</v>
      </c>
      <c r="G21" s="799">
        <v>20</v>
      </c>
      <c r="H21" s="1293">
        <f t="shared" si="0"/>
        <v>9412500</v>
      </c>
      <c r="I21" s="1293">
        <f t="shared" si="1"/>
        <v>9880000</v>
      </c>
      <c r="J21" s="1293">
        <f t="shared" si="2"/>
        <v>1200000</v>
      </c>
      <c r="K21" s="203"/>
      <c r="L21" s="793">
        <f t="shared" si="3"/>
        <v>20492500</v>
      </c>
    </row>
    <row r="22" spans="1:16" s="145" customFormat="1" ht="20.100000000000001" customHeight="1">
      <c r="A22" s="1294">
        <v>15</v>
      </c>
      <c r="B22" s="800" t="s">
        <v>441</v>
      </c>
      <c r="C22" s="1295">
        <v>502</v>
      </c>
      <c r="D22" s="801">
        <v>208</v>
      </c>
      <c r="E22" s="1295">
        <v>502</v>
      </c>
      <c r="F22" s="801">
        <v>208</v>
      </c>
      <c r="G22" s="801">
        <v>20</v>
      </c>
      <c r="H22" s="1296">
        <f t="shared" si="0"/>
        <v>9412500</v>
      </c>
      <c r="I22" s="1296">
        <f t="shared" si="1"/>
        <v>9880000</v>
      </c>
      <c r="J22" s="1296">
        <f t="shared" si="2"/>
        <v>1200000</v>
      </c>
      <c r="K22" s="1297"/>
      <c r="L22" s="793">
        <f t="shared" si="3"/>
        <v>20492500</v>
      </c>
    </row>
    <row r="23" spans="1:16" s="145" customFormat="1" ht="20.100000000000001" customHeight="1">
      <c r="A23" s="1298">
        <v>16</v>
      </c>
      <c r="B23" s="797" t="s">
        <v>442</v>
      </c>
      <c r="C23" s="802">
        <v>502</v>
      </c>
      <c r="D23" s="1299">
        <v>208</v>
      </c>
      <c r="E23" s="802">
        <v>502</v>
      </c>
      <c r="F23" s="1299">
        <v>208</v>
      </c>
      <c r="G23" s="1299">
        <v>20</v>
      </c>
      <c r="H23" s="1300">
        <f t="shared" si="0"/>
        <v>9412500</v>
      </c>
      <c r="I23" s="1300">
        <f t="shared" si="1"/>
        <v>9880000</v>
      </c>
      <c r="J23" s="1300">
        <f t="shared" si="2"/>
        <v>1200000</v>
      </c>
      <c r="K23" s="1301"/>
      <c r="L23" s="140">
        <f t="shared" si="3"/>
        <v>20492500</v>
      </c>
    </row>
    <row r="24" spans="1:16" s="145" customFormat="1" ht="20.100000000000001" customHeight="1">
      <c r="A24" s="1302"/>
      <c r="B24" s="1303" t="s">
        <v>10</v>
      </c>
      <c r="C24" s="599"/>
      <c r="D24" s="599"/>
      <c r="E24" s="802">
        <f t="shared" ref="E24:G24" si="4">SUM(E8:E23)</f>
        <v>5020</v>
      </c>
      <c r="F24" s="803">
        <f t="shared" si="4"/>
        <v>2080</v>
      </c>
      <c r="G24" s="803">
        <f t="shared" si="4"/>
        <v>200</v>
      </c>
      <c r="H24" s="1304">
        <f>SUM(H8:H23)</f>
        <v>94125000</v>
      </c>
      <c r="I24" s="1304">
        <f>SUM(I8:I23)</f>
        <v>98800000</v>
      </c>
      <c r="J24" s="1300">
        <f>SUM(J8:J23)</f>
        <v>12000000</v>
      </c>
      <c r="K24" s="1301"/>
      <c r="L24" s="140">
        <f t="shared" si="3"/>
        <v>204925000</v>
      </c>
      <c r="N24" s="204"/>
    </row>
    <row r="25" spans="1:16" s="145" customFormat="1" ht="23.1" customHeight="1">
      <c r="A25" s="1305" t="s">
        <v>497</v>
      </c>
      <c r="B25" s="1306"/>
      <c r="C25" s="1306"/>
      <c r="D25" s="1306"/>
      <c r="E25" s="1306"/>
      <c r="F25" s="1306"/>
      <c r="G25" s="1306"/>
      <c r="H25" s="1306"/>
      <c r="I25" s="1306"/>
      <c r="J25" s="1306"/>
      <c r="K25" s="1306"/>
      <c r="L25" s="1307"/>
    </row>
    <row r="26" spans="1:16" s="145" customFormat="1" ht="23.1" customHeight="1">
      <c r="A26" s="765"/>
      <c r="B26" s="1313"/>
      <c r="C26" s="1314"/>
      <c r="D26" s="1314"/>
      <c r="E26" s="1315"/>
      <c r="F26" s="1316"/>
      <c r="G26" s="1315"/>
      <c r="H26" s="1316"/>
      <c r="I26" s="1316"/>
      <c r="J26" s="1316"/>
      <c r="K26" s="1316"/>
      <c r="L26" s="1316"/>
      <c r="M26" s="204"/>
      <c r="N26" s="204"/>
      <c r="O26" s="204"/>
      <c r="P26" s="204"/>
    </row>
    <row r="27" spans="1:16" s="145" customFormat="1" ht="23.1" customHeight="1">
      <c r="A27" s="765"/>
      <c r="B27" s="1313"/>
      <c r="C27" s="1314"/>
      <c r="D27" s="1314"/>
      <c r="E27" s="1315"/>
      <c r="F27" s="1316"/>
      <c r="G27" s="1315"/>
      <c r="H27" s="1316"/>
      <c r="I27" s="1316"/>
      <c r="J27" s="1316"/>
      <c r="K27" s="1316"/>
      <c r="L27" s="1316"/>
      <c r="N27" s="204"/>
    </row>
    <row r="28" spans="1:16" s="145" customFormat="1" ht="23.1" customHeight="1">
      <c r="A28" s="765"/>
      <c r="B28" s="1313"/>
      <c r="C28" s="1314"/>
      <c r="D28" s="1314"/>
      <c r="E28" s="1315"/>
      <c r="F28" s="1316"/>
      <c r="G28" s="1315"/>
      <c r="H28" s="1316"/>
      <c r="I28" s="1316"/>
      <c r="J28" s="1316"/>
      <c r="K28" s="1316"/>
      <c r="L28" s="1316"/>
    </row>
    <row r="29" spans="1:16" s="145" customFormat="1" ht="23.1" customHeight="1">
      <c r="A29" s="1308"/>
      <c r="B29" s="1309"/>
      <c r="C29" s="1310"/>
      <c r="D29" s="1310"/>
      <c r="E29" s="1311"/>
      <c r="F29" s="1312"/>
      <c r="G29" s="1311"/>
      <c r="H29" s="1312"/>
      <c r="I29" s="1312"/>
      <c r="J29" s="1312"/>
      <c r="K29" s="1312"/>
      <c r="L29" s="1312"/>
    </row>
    <row r="30" spans="1:16" ht="23.1" customHeight="1">
      <c r="I30" s="934"/>
      <c r="J30" s="935"/>
      <c r="K30" s="935"/>
      <c r="L30" s="935"/>
    </row>
    <row r="31" spans="1:16" ht="23.1" customHeight="1">
      <c r="B31" s="36"/>
      <c r="C31" s="95"/>
      <c r="D31" s="95"/>
      <c r="E31" s="142"/>
      <c r="F31" s="138"/>
      <c r="G31" s="138"/>
      <c r="H31" s="138"/>
      <c r="I31" s="109"/>
      <c r="J31" s="143"/>
      <c r="K31" s="143"/>
      <c r="L31" s="143"/>
    </row>
    <row r="32" spans="1:16" ht="23.1" customHeight="1"/>
    <row r="33" spans="2:13">
      <c r="M33" s="144"/>
    </row>
    <row r="34" spans="2:13" ht="15.75">
      <c r="B34" s="110" t="s">
        <v>11</v>
      </c>
    </row>
    <row r="35" spans="2:13" ht="15.75">
      <c r="B35" s="110" t="s">
        <v>3</v>
      </c>
    </row>
    <row r="36" spans="2:13" ht="15.75">
      <c r="B36" s="110" t="s">
        <v>4</v>
      </c>
    </row>
    <row r="37" spans="2:13" ht="15.75">
      <c r="B37" s="110" t="s">
        <v>5</v>
      </c>
    </row>
    <row r="301" spans="1:11">
      <c r="A301" s="932" t="s">
        <v>20</v>
      </c>
      <c r="B301" s="933"/>
      <c r="C301" s="933"/>
      <c r="D301" s="933"/>
      <c r="E301" s="933"/>
      <c r="F301" s="933"/>
      <c r="G301" s="933"/>
      <c r="H301" s="933"/>
      <c r="I301" s="933"/>
      <c r="J301" s="933"/>
      <c r="K301" s="933"/>
    </row>
    <row r="302" spans="1:11" ht="20.25" customHeight="1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8.75" customHeight="1">
      <c r="A303" s="28" t="s">
        <v>21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</row>
  </sheetData>
  <mergeCells count="9">
    <mergeCell ref="I5:L5"/>
    <mergeCell ref="A301:K301"/>
    <mergeCell ref="I30:L30"/>
    <mergeCell ref="J1:L1"/>
    <mergeCell ref="A4:L4"/>
    <mergeCell ref="A1:B1"/>
    <mergeCell ref="A3:B3"/>
    <mergeCell ref="A2:B2"/>
    <mergeCell ref="A25:L25"/>
  </mergeCells>
  <phoneticPr fontId="17" type="noConversion"/>
  <pageMargins left="0" right="0" top="0" bottom="0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Lương khối QLNN</vt:lpstr>
      <vt:lpstr>Lương khối DP</vt:lpstr>
      <vt:lpstr> Lương xã</vt:lpstr>
      <vt:lpstr>DS TP </vt:lpstr>
      <vt:lpstr>DS PX</vt:lpstr>
      <vt:lpstr>Biên chế còn thiếu</vt:lpstr>
      <vt:lpstr>NLTX</vt:lpstr>
      <vt:lpstr>Chi TX TYT</vt:lpstr>
      <vt:lpstr>truc xa</vt:lpstr>
      <vt:lpstr>NĐ 76 ưu đãi</vt:lpstr>
      <vt:lpstr>NĐ 76 thu hút</vt:lpstr>
      <vt:lpstr>NĐ76 lâu năm</vt:lpstr>
      <vt:lpstr>Chuyển vùng</vt:lpstr>
      <vt:lpstr>Trợ cấp lần đầu</vt:lpstr>
      <vt:lpstr>ND 76 di hoc</vt:lpstr>
      <vt:lpstr>Biểu 15,1</vt:lpstr>
      <vt:lpstr>Biểu 15,2</vt:lpstr>
      <vt:lpstr>Sheet2</vt:lpstr>
      <vt:lpstr>Sheet3</vt:lpstr>
      <vt:lpstr>'Lương khối QLNN'!Print_Titles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2024-10-03T03:23:55Z</cp:lastPrinted>
  <dcterms:created xsi:type="dcterms:W3CDTF">2012-07-06T04:00:40Z</dcterms:created>
  <dcterms:modified xsi:type="dcterms:W3CDTF">2024-10-03T03:28:23Z</dcterms:modified>
</cp:coreProperties>
</file>